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8" windowWidth="16260" windowHeight="5064"/>
  </bookViews>
  <sheets>
    <sheet name="LOCAL" sheetId="2" r:id="rId1"/>
    <sheet name="GASTOS" sheetId="3" r:id="rId2"/>
    <sheet name="CÂMBIO" sheetId="4" r:id="rId3"/>
    <sheet name="ROTEIROS E DICAS" sheetId="5" r:id="rId4"/>
    <sheet name="FOTOS" sheetId="6" r:id="rId5"/>
  </sheets>
  <calcPr calcId="145621"/>
</workbook>
</file>

<file path=xl/calcChain.xml><?xml version="1.0" encoding="utf-8"?>
<calcChain xmlns="http://schemas.openxmlformats.org/spreadsheetml/2006/main">
  <c r="D3" i="3" l="1"/>
  <c r="G25" i="3"/>
  <c r="G23" i="3" s="1"/>
  <c r="F27" i="3"/>
  <c r="G27" i="3"/>
  <c r="AE24" i="3"/>
  <c r="D24" i="3" s="1"/>
  <c r="V27" i="3"/>
  <c r="D27" i="3" s="1"/>
  <c r="C27" i="3" s="1"/>
  <c r="E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W23" i="3"/>
  <c r="X23" i="3"/>
  <c r="Y23" i="3"/>
  <c r="Z23" i="3"/>
  <c r="AA23" i="3"/>
  <c r="AB23" i="3"/>
  <c r="AC23" i="3"/>
  <c r="AD23" i="3"/>
  <c r="AF23" i="3"/>
  <c r="AG23" i="3"/>
  <c r="AE23" i="3"/>
  <c r="D26" i="3"/>
  <c r="C26" i="3" s="1"/>
  <c r="F23" i="3"/>
  <c r="AF8" i="3"/>
  <c r="E8" i="3"/>
  <c r="D25" i="3" l="1"/>
  <c r="C25" i="3" s="1"/>
  <c r="C24" i="3"/>
  <c r="V23" i="3"/>
  <c r="AE3" i="2"/>
  <c r="Z3" i="2"/>
  <c r="B6" i="4"/>
  <c r="F22" i="3"/>
  <c r="F7" i="3"/>
  <c r="AF13" i="3"/>
  <c r="AE13" i="3"/>
  <c r="AD13" i="3"/>
  <c r="AC13" i="3"/>
  <c r="AB13" i="3"/>
  <c r="AA13" i="3"/>
  <c r="Z13" i="3"/>
  <c r="X13" i="3"/>
  <c r="X22" i="3"/>
  <c r="W13" i="3"/>
  <c r="U13" i="3"/>
  <c r="S13" i="3"/>
  <c r="P13" i="3"/>
  <c r="D23" i="3" l="1"/>
  <c r="C23" i="3" s="1"/>
  <c r="U23" i="2"/>
  <c r="V3" i="2" s="1"/>
  <c r="V23" i="2" s="1"/>
  <c r="U3" i="2" l="1"/>
  <c r="S22" i="2"/>
  <c r="S3" i="2"/>
  <c r="P3" i="2"/>
  <c r="R21" i="2" s="1"/>
  <c r="M3" i="2" l="1"/>
  <c r="M23" i="2" s="1"/>
  <c r="N3" i="2" s="1"/>
  <c r="N21" i="2" s="1"/>
  <c r="N5" i="3"/>
  <c r="L13" i="3"/>
  <c r="L22" i="3"/>
  <c r="L3" i="2" l="1"/>
  <c r="J13" i="3" l="1"/>
  <c r="J5" i="3"/>
  <c r="H3" i="2" l="1"/>
  <c r="G13" i="3" l="1"/>
  <c r="F13" i="3"/>
  <c r="H13" i="3" l="1"/>
  <c r="AG18" i="3" l="1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F18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AG4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G22" i="3"/>
  <c r="G18" i="3" s="1"/>
  <c r="E14" i="3"/>
  <c r="AG3" i="3" l="1"/>
  <c r="D8" i="3"/>
  <c r="D7" i="3"/>
  <c r="D6" i="3"/>
  <c r="D5" i="3"/>
  <c r="C5" i="3" s="1"/>
  <c r="D22" i="3"/>
  <c r="D21" i="3"/>
  <c r="D20" i="3"/>
  <c r="D19" i="3"/>
  <c r="D17" i="3"/>
  <c r="D16" i="3"/>
  <c r="D15" i="3"/>
  <c r="D13" i="3"/>
  <c r="D12" i="3"/>
  <c r="D11" i="3"/>
  <c r="D10" i="3"/>
  <c r="AE27" i="2" l="1"/>
  <c r="C7" i="4"/>
  <c r="B7" i="4" s="1"/>
  <c r="D6" i="4"/>
  <c r="C5" i="4"/>
  <c r="D5" i="4" s="1"/>
  <c r="AD3" i="2" l="1"/>
  <c r="AC3" i="2"/>
  <c r="X3" i="2"/>
  <c r="T3" i="2" l="1"/>
  <c r="T21" i="2" s="1"/>
  <c r="X21" i="2"/>
  <c r="Y3" i="2" s="1"/>
  <c r="W3" i="2"/>
  <c r="Z22" i="2" s="1"/>
  <c r="AA3" i="2" s="1"/>
  <c r="AA22" i="2" s="1"/>
  <c r="AB3" i="2" s="1"/>
  <c r="O3" i="2"/>
  <c r="Q3" i="2" s="1"/>
  <c r="R3" i="2" s="1"/>
  <c r="F3" i="2" l="1"/>
  <c r="F25" i="2" s="1"/>
  <c r="G3" i="2" s="1"/>
  <c r="I3" i="2" l="1"/>
  <c r="J3" i="2" s="1"/>
  <c r="J21" i="2" s="1"/>
  <c r="K3" i="2" s="1"/>
  <c r="E3" i="2" l="1"/>
  <c r="D3" i="2" l="1"/>
  <c r="C20" i="3"/>
  <c r="C21" i="3"/>
  <c r="C22" i="3"/>
  <c r="C19" i="3"/>
  <c r="C16" i="3"/>
  <c r="C17" i="3"/>
  <c r="C11" i="3"/>
  <c r="C12" i="3"/>
  <c r="C13" i="3"/>
  <c r="C10" i="3"/>
  <c r="C6" i="3"/>
  <c r="C7" i="3"/>
  <c r="C8" i="3"/>
  <c r="R3" i="3"/>
  <c r="V3" i="3"/>
  <c r="E9" i="3"/>
  <c r="E18" i="3"/>
  <c r="E4" i="3"/>
  <c r="T27" i="2" l="1"/>
  <c r="P27" i="2"/>
  <c r="G3" i="3"/>
  <c r="D14" i="3"/>
  <c r="C14" i="3" s="1"/>
  <c r="C15" i="3"/>
  <c r="Q3" i="3"/>
  <c r="AB3" i="3"/>
  <c r="X3" i="3"/>
  <c r="L3" i="3"/>
  <c r="AF3" i="3"/>
  <c r="E3" i="3"/>
  <c r="AE3" i="3"/>
  <c r="AD3" i="3"/>
  <c r="AC3" i="3"/>
  <c r="Z3" i="3"/>
  <c r="AA3" i="3"/>
  <c r="Y3" i="3"/>
  <c r="W3" i="3"/>
  <c r="U3" i="3"/>
  <c r="T3" i="3"/>
  <c r="D18" i="3"/>
  <c r="C18" i="3" s="1"/>
  <c r="S3" i="3"/>
  <c r="P3" i="3"/>
  <c r="O3" i="3"/>
  <c r="N3" i="3"/>
  <c r="M3" i="3"/>
  <c r="K3" i="3"/>
  <c r="I3" i="3"/>
  <c r="J3" i="3"/>
  <c r="H3" i="3"/>
  <c r="F27" i="2" s="1"/>
  <c r="F3" i="3"/>
  <c r="D9" i="3"/>
  <c r="C9" i="3" s="1"/>
  <c r="D4" i="3"/>
  <c r="C27" i="2" l="1"/>
  <c r="D27" i="2"/>
  <c r="AD27" i="2"/>
  <c r="AC27" i="2"/>
  <c r="AB27" i="2"/>
  <c r="AA27" i="2"/>
  <c r="Z27" i="2"/>
  <c r="Y27" i="2"/>
  <c r="X27" i="2"/>
  <c r="W27" i="2"/>
  <c r="V27" i="2"/>
  <c r="U27" i="2"/>
  <c r="S27" i="2"/>
  <c r="R27" i="2"/>
  <c r="Q27" i="2"/>
  <c r="O27" i="2"/>
  <c r="M27" i="2"/>
  <c r="N27" i="2"/>
  <c r="L27" i="2"/>
  <c r="K27" i="2"/>
  <c r="J27" i="2"/>
  <c r="I27" i="2"/>
  <c r="E27" i="2"/>
  <c r="G27" i="2"/>
  <c r="H27" i="2"/>
</calcChain>
</file>

<file path=xl/sharedStrings.xml><?xml version="1.0" encoding="utf-8"?>
<sst xmlns="http://schemas.openxmlformats.org/spreadsheetml/2006/main" count="194" uniqueCount="166">
  <si>
    <t>DATA</t>
  </si>
  <si>
    <t>TRANSPORTES</t>
  </si>
  <si>
    <t>ONIBUS</t>
  </si>
  <si>
    <t>ALIMENTAÇÃO</t>
  </si>
  <si>
    <t>HOSPEDAGEM</t>
  </si>
  <si>
    <t>PASSEIOS</t>
  </si>
  <si>
    <t>COMPRAS</t>
  </si>
  <si>
    <t>AÉRIO</t>
  </si>
  <si>
    <t>CARRO</t>
  </si>
  <si>
    <t>1900 HOSTEL</t>
  </si>
  <si>
    <t>03h00</t>
  </si>
  <si>
    <t>00h00</t>
  </si>
  <si>
    <t>01h00</t>
  </si>
  <si>
    <t>02h00</t>
  </si>
  <si>
    <t>04h00</t>
  </si>
  <si>
    <t>05h00</t>
  </si>
  <si>
    <t>06h00</t>
  </si>
  <si>
    <t>07h00</t>
  </si>
  <si>
    <t>08h00</t>
  </si>
  <si>
    <t>09h00</t>
  </si>
  <si>
    <t>10h00</t>
  </si>
  <si>
    <t>11h00</t>
  </si>
  <si>
    <t>12h00</t>
  </si>
  <si>
    <t>13h00</t>
  </si>
  <si>
    <t>14h00</t>
  </si>
  <si>
    <t>15h00</t>
  </si>
  <si>
    <t>16h00</t>
  </si>
  <si>
    <t>17h00</t>
  </si>
  <si>
    <t>18h00</t>
  </si>
  <si>
    <t>19h00</t>
  </si>
  <si>
    <t>20h00</t>
  </si>
  <si>
    <t>21h00</t>
  </si>
  <si>
    <t>22h00</t>
  </si>
  <si>
    <t>23h00</t>
  </si>
  <si>
    <t>VOO SÃO PAULO X LIMA LA2766  LATAM 05h15</t>
  </si>
  <si>
    <t>VOO NATAL X SÃO PAULO JJ3351 LATAM 03h10</t>
  </si>
  <si>
    <t>AEROPORTO NATAL</t>
  </si>
  <si>
    <t>LOTAÇÃO</t>
  </si>
  <si>
    <t>CAFÉ</t>
  </si>
  <si>
    <t>ALMOÇO</t>
  </si>
  <si>
    <t>JANTAR</t>
  </si>
  <si>
    <t>LANCHE</t>
  </si>
  <si>
    <t>HOTEL</t>
  </si>
  <si>
    <t>CAMPING</t>
  </si>
  <si>
    <t>CASA</t>
  </si>
  <si>
    <t>TOTAL</t>
  </si>
  <si>
    <t>CITY TOURS</t>
  </si>
  <si>
    <t>EVENTOS</t>
  </si>
  <si>
    <t>ENTRADAS</t>
  </si>
  <si>
    <t>LEMBRANÇAS</t>
  </si>
  <si>
    <t>ROUPAS</t>
  </si>
  <si>
    <t>CALÇADOS</t>
  </si>
  <si>
    <t>COMODIDADE</t>
  </si>
  <si>
    <t>ÔNIBUS LIMA X HUARAZ</t>
  </si>
  <si>
    <t>HOSTEL ÁGUAS CALIENTES</t>
  </si>
  <si>
    <t>CUSCO X LIMA (CRUZ DEL SUL) 21h00</t>
  </si>
  <si>
    <t>VOO LIMA X SÃO PAULO LA2767 LATAM 04h55</t>
  </si>
  <si>
    <t>VOO SÃO PAULO X NATAL JJ3306 LATAM 03h14</t>
  </si>
  <si>
    <t>AEROPORTO SÃO PAULO</t>
  </si>
  <si>
    <t>AEROPORTO LIMA</t>
  </si>
  <si>
    <t>FIM</t>
  </si>
  <si>
    <t>INÍCIO</t>
  </si>
  <si>
    <t>LAGUNA 69</t>
  </si>
  <si>
    <t>CACHOEIRA GOCTA</t>
  </si>
  <si>
    <t>PASSEIO DE BUGGRY DUNAS DO OÁSIS DE ICA</t>
  </si>
  <si>
    <t>VALE SAGRADO</t>
  </si>
  <si>
    <t>MATCHU PICCHU</t>
  </si>
  <si>
    <t>MONTANHAS COLORIDAS</t>
  </si>
  <si>
    <t>DESPEDIDA DE CUSCO</t>
  </si>
  <si>
    <t>TRILHAS/PASSEIOS</t>
  </si>
  <si>
    <t>MÉDIA / DIA</t>
  </si>
  <si>
    <t>TABELA DE CÁLCULO</t>
  </si>
  <si>
    <t>REAIS R$</t>
  </si>
  <si>
    <t>DOLAR $$</t>
  </si>
  <si>
    <t>SOLES /$</t>
  </si>
  <si>
    <t>VALOR</t>
  </si>
  <si>
    <t>MOEDA</t>
  </si>
  <si>
    <t>CÂMBIO</t>
  </si>
  <si>
    <t>IOF</t>
  </si>
  <si>
    <t>CONVERTIDO</t>
  </si>
  <si>
    <t>PRÉ CONVERSÃO</t>
  </si>
  <si>
    <t>DETALHES</t>
  </si>
  <si>
    <t>LOCAL</t>
  </si>
  <si>
    <t>TABELA DE CÂMBIO</t>
  </si>
  <si>
    <t>23/06/2016 QUI</t>
  </si>
  <si>
    <t>NATAL - RN</t>
  </si>
  <si>
    <t>DÓLARES</t>
  </si>
  <si>
    <t>REAIS</t>
  </si>
  <si>
    <t>RUA 25 DE MARÇO X AV LIBERDADE ( CHINESA) X PARQUE IBIRAPUERA</t>
  </si>
  <si>
    <t>SOLES</t>
  </si>
  <si>
    <t>LIMA-PE</t>
  </si>
  <si>
    <t>25/06/2016 SAB</t>
  </si>
  <si>
    <t>ALPAMAYO HOTE</t>
  </si>
  <si>
    <t>NEVADO PASTORURI</t>
  </si>
  <si>
    <t>CONHECENDO LIMA</t>
  </si>
  <si>
    <t>HUARAZ X TRUJILLO</t>
  </si>
  <si>
    <t>DESCANÇO</t>
  </si>
  <si>
    <t>TRUJILLO X CHACHAPOYAS</t>
  </si>
  <si>
    <t>HOME BACKPECKERS HOSTEL</t>
  </si>
  <si>
    <t xml:space="preserve"> </t>
  </si>
  <si>
    <t>RUÍNAS DE CHAN CHAN</t>
  </si>
  <si>
    <t>RUÍNAS DE KULEAP</t>
  </si>
  <si>
    <t>CHACHAPOYAS X LIMA (22h)</t>
  </si>
  <si>
    <t>LIMA X ICA X HUACACHINA (5h00)</t>
  </si>
  <si>
    <t>HOTEL CASA ARENA</t>
  </si>
  <si>
    <t>ILHAS BALLESTES E PARQUE EM PARACAS</t>
  </si>
  <si>
    <t>ICA X AREQUIPA (12h) CRUZ DEL SUL</t>
  </si>
  <si>
    <t>CIDADE DE AREQUIPA</t>
  </si>
  <si>
    <t>HOTEL AFEQUIPA</t>
  </si>
  <si>
    <t>CANYON COLCA</t>
  </si>
  <si>
    <t>AREQUIPA X PUNO</t>
  </si>
  <si>
    <t>HOTEL EM PUNO</t>
  </si>
  <si>
    <t>ILHAS UROS</t>
  </si>
  <si>
    <t>CIDADE DE PUNO</t>
  </si>
  <si>
    <t>ILHA TAQUILE</t>
  </si>
  <si>
    <t>PUNO X CUSCO</t>
  </si>
  <si>
    <t>HOTEL INKAS GARDEN</t>
  </si>
  <si>
    <t>CUSCO CIDADE</t>
  </si>
  <si>
    <t>CUSCO X ÁGUAS CALIENTES (HIDRELÉTRICA)</t>
  </si>
  <si>
    <t>20/07/2016 QUA</t>
  </si>
  <si>
    <t>ÁGUAS CALIENTES X CUSCO (HIDRELÉTRICA)</t>
  </si>
  <si>
    <t>HOTEL EL IMPERIO</t>
  </si>
  <si>
    <t>RAFIT E TIROLESA</t>
  </si>
  <si>
    <t>GRAN HOTEL</t>
  </si>
  <si>
    <t>AEROPORTO DE SÃO PAULO GRU</t>
  </si>
  <si>
    <t>OBS: VALORES EM NEGRITO FORAM GASTOS EM OUTRA MOEDA E CONVERTIDOS PARA NUEVOS SOLES (R$ x S/. 0.95) | ($ x S/. 3,331)</t>
  </si>
  <si>
    <t>TOTAL EM REAIS</t>
  </si>
  <si>
    <t>PERU JUN/JUL 2016 - 28 DIAS</t>
  </si>
  <si>
    <t>LIMA</t>
  </si>
  <si>
    <t>CIDADE</t>
  </si>
  <si>
    <t>O QUE FAZER</t>
  </si>
  <si>
    <t>CONHECER PLAZA DE ARMAS</t>
  </si>
  <si>
    <t>NOTA</t>
  </si>
  <si>
    <t>HUARAZ</t>
  </si>
  <si>
    <t>TRUJILLO</t>
  </si>
  <si>
    <t>CHACHAPOYAS</t>
  </si>
  <si>
    <t>GOCTA 3ª CACHOEIRA MAIOR DO MUNDO</t>
  </si>
  <si>
    <t>POIS, NÃO TIVEMOS ACESSO A 2ª QUEDA POR CONTA DA MORTE DE UM COREANO, PROVAVELMENTE SERIA NOTA 10</t>
  </si>
  <si>
    <t>RUÍNAS DE KUELAP 2ª MATCHU PICCHU</t>
  </si>
  <si>
    <t>ICA</t>
  </si>
  <si>
    <t>PASSEIO DE BUGGY</t>
  </si>
  <si>
    <t>PRA QUEM JÁ FOI EM NATAL-RN, ESTE PASSEIO É MELHOR , MUITO BOM APENAS 2h MAS VALE MUITO A PENA</t>
  </si>
  <si>
    <t>UMA MATCHU PICCHU DIFERENTE E MENOS POPULAR</t>
  </si>
  <si>
    <t>FIZ POR QUE ESTAVA DE PASSAGEM NA CIDADE, NESTE CASO VALE A PENA RUÍNAS DE AREIA</t>
  </si>
  <si>
    <t>3h DE CAMINHADA, MAS VALE MUITO A PENA, LEMBRANDO QUE ESTÁ A 4.500m DE ALTITUDE PRECISA ESTAR ACLIMATADO OU VAI PASSAR MAL</t>
  </si>
  <si>
    <t>PASSEIO PADRÃO PARA TODO MUNDO NÃO FIZ O CITY TUOR DEIXEI PRO FINAL, MAS VI Q N IA VALER A PENA PRA MIN POR CONTA DO TEMPO</t>
  </si>
  <si>
    <t>ILHAS BALLESTES E RESERVA DE PARACAS</t>
  </si>
  <si>
    <t>DA PRA VER GOLFINHOS , FOCAS E MUITAS AVES PRA QUEM GOSTA DE PASEIO DE BARCO É UMA BOA OPÇÃO</t>
  </si>
  <si>
    <t>AREQUIPA</t>
  </si>
  <si>
    <t>CANYON COLCA EM CHIVAY</t>
  </si>
  <si>
    <t>PUNO</t>
  </si>
  <si>
    <t>DA PRA FAZER AS DUAS ILHAS NO MESMO DIA</t>
  </si>
  <si>
    <t>ILHAS UROS E TAQUILE - LAGO TITICACA</t>
  </si>
  <si>
    <t>CUSCO</t>
  </si>
  <si>
    <t>PASSEIO 1 DIA VALE SAGRADO 5 PONTOS PRA CONHECER, MUITO BOM</t>
  </si>
  <si>
    <t>CUSCO X ÁGUASCALIENTES</t>
  </si>
  <si>
    <t>FIZEMOS PELO CAMINHO DA HIDRELÉTRICA UM DIA PRA CHEGAR EM ÁGUAS CALIENTES, UM DIA MATCHU PICCHU E OUTRO DIA PRA VOLTAR, AS VAN SÃO RUIN E TUDO MUITO DESORGANIZADO, VALE A PENA POR QUE SAI MUITO MAIS BARATO, POIS, ESTA PARTE DA VIAGEM É A MAIS CARA. O CAMINHO PELOS TRILHOS É BEM INTERESSANTE TEM APROXIMADAMENTE 10Km, MEHOR PARTE QUANDO O TREM VEM E TEMOS Q IR PARA O CANTO DOS TRILHOS</t>
  </si>
  <si>
    <t>OBSERVAÇÕES</t>
  </si>
  <si>
    <t>SUBIMOS O MORRO A PÉ 1h DE CAMINHADA NO RITMO ACIMA DA MÉDIA, RECOMENDO CHEGAR ANTES DAS 6h30 LA EM CIMA DE MATCHU PICCHU, POIS DA PRA VER O NASCER DO SOL E TIRARA FOTOS SEM MUITA GENTE, NÃ ESQUECER DE LEVAR PASSAPORTE PRA CARIMBAR, É BOM LEVAR ÁGUA, COMIA ELES RESTRINGE LA EM CIMA A ALIMENTAÇÃO É MUITO CARA MEU ALMOÇO FOI UM SANDUÍCHE DE 28 SOLES, MAS O TAMANHO É GRANDE, PORÉM AINDA MUITO CARO, AS 8h SUBIMOS A MONTANHA MATCHU PICCHU, POIS A HYANA PICCHU ESTAVA SEM VAGAS, DEMOREI EM TORNO DE 3h SUBIDA, TIRAR FOTOS E DESCER, UM DETALHE EM TODO MATCHU PICCHU É PROIBIDO TIRARA FOTOS COM BANDEIRAS QUE NÃO SEJA DE PAÍSES, DEPOIS ALMOÇAMOS E PAGAMOS GUIAS A 25 SOLES E CONHECEMOS REALMENTE MATCHU PICCHU 2h DE GUIA APROXIMADAMENTE E VOLTAMOS A PÉ PARA ÁGUAS CALIENTES.</t>
  </si>
  <si>
    <t>RAFIT E TIROSELA</t>
  </si>
  <si>
    <t>O RAFITING MUITO INTERESSANTE NUNCA FIZ, MAS RECOMENDO A TIROLESA É BEM TRANQUILA NE MVALE MUITO A PENA, MAS JÁ TA NO PACOTE, ESTE PASSEIO FIZEMOS PARA RELAXAR MESMO.</t>
  </si>
  <si>
    <t>EXCELENTE PASSEIO, PODE USAR CAVALSO A 60 SOLES E ATINGE A ALTITUDE DE 5.100m DURA O DIA TODO</t>
  </si>
  <si>
    <t>ROTEIRO MOCHILÃO</t>
  </si>
  <si>
    <t>O CANYON É MARAVILHOSO, MAS NÃO RECOMENDO O PASSEIO QUE FIZEMOS DE 3 DIAS, FICA 2 DIAS MUITO PARADOS, O 3º DIA É O MELHOR DA PRA FAZER EM UM OU 2 DIAS, TAMBÉM DA PRA FAZER O VULCÃO MISTI NÃO FIZEMOS POR QUE SÃO 5.800m  DE ALTITUDE E NÃO ESTAVAMOS PREPARADOS 2 DIAS PRA SUBIR</t>
  </si>
  <si>
    <t>CHEGA-SE DE ONIBUS AOS 4.800m DE ALTITUDE E CAMINHAMOS EM TORNO DE 1km PARA ATINGIR OS 5.000m, PRECISA ESTAR ACLIMATADO, NÃO ESTAVAMOS PASSAMOS MAL E EU VOMITEI.</t>
  </si>
  <si>
    <t>CHIVAY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</si>
</sst>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F800]dddd\,\ mmmm\ dd\,\ yyyy"/>
    <numFmt numFmtId="165" formatCode="dd/mm/yyyy\ [$-416]ddd"/>
    <numFmt numFmtId="166" formatCode="_-&quot;R$&quot;\ * #,##0.000_-;\-&quot;R$&quot;\ * #,##0.000_-;_-&quot;R$&quot;\ * &quot;-&quot;??_-;_-@_-"/>
    <numFmt numFmtId="167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EDB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2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44" fontId="2" fillId="2" borderId="1" xfId="1" applyFont="1" applyFill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44" fontId="6" fillId="4" borderId="1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0" fontId="3" fillId="4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44" fontId="2" fillId="8" borderId="11" xfId="1" applyFont="1" applyFill="1" applyBorder="1" applyAlignment="1">
      <alignment horizontal="center" vertical="center"/>
    </xf>
    <xf numFmtId="44" fontId="6" fillId="0" borderId="11" xfId="1" applyFont="1" applyBorder="1" applyAlignment="1">
      <alignment horizontal="center" vertical="center"/>
    </xf>
    <xf numFmtId="44" fontId="6" fillId="0" borderId="12" xfId="1" applyFont="1" applyBorder="1" applyAlignment="1">
      <alignment horizontal="center" vertical="center"/>
    </xf>
    <xf numFmtId="44" fontId="2" fillId="2" borderId="13" xfId="0" applyNumberFormat="1" applyFont="1" applyFill="1" applyBorder="1" applyAlignment="1">
      <alignment horizontal="center" vertical="center"/>
    </xf>
    <xf numFmtId="44" fontId="2" fillId="8" borderId="14" xfId="1" applyFont="1" applyFill="1" applyBorder="1" applyAlignment="1">
      <alignment horizontal="center" vertical="center"/>
    </xf>
    <xf numFmtId="44" fontId="10" fillId="6" borderId="17" xfId="0" applyNumberFormat="1" applyFont="1" applyFill="1" applyBorder="1" applyAlignment="1">
      <alignment horizontal="center" vertical="center"/>
    </xf>
    <xf numFmtId="44" fontId="10" fillId="0" borderId="18" xfId="0" applyNumberFormat="1" applyFont="1" applyFill="1" applyBorder="1" applyAlignment="1">
      <alignment horizontal="center" vertical="center"/>
    </xf>
    <xf numFmtId="44" fontId="10" fillId="6" borderId="18" xfId="0" applyNumberFormat="1" applyFont="1" applyFill="1" applyBorder="1" applyAlignment="1">
      <alignment horizontal="center" vertical="center"/>
    </xf>
    <xf numFmtId="165" fontId="2" fillId="5" borderId="17" xfId="0" applyNumberFormat="1" applyFont="1" applyFill="1" applyBorder="1" applyAlignment="1">
      <alignment horizontal="center" vertical="center"/>
    </xf>
    <xf numFmtId="165" fontId="2" fillId="5" borderId="18" xfId="0" applyNumberFormat="1" applyFont="1" applyFill="1" applyBorder="1" applyAlignment="1">
      <alignment horizontal="center" vertical="center"/>
    </xf>
    <xf numFmtId="44" fontId="2" fillId="2" borderId="3" xfId="1" applyFont="1" applyFill="1" applyBorder="1" applyAlignment="1">
      <alignment horizontal="center" vertical="center"/>
    </xf>
    <xf numFmtId="44" fontId="2" fillId="2" borderId="19" xfId="1" applyFont="1" applyFill="1" applyBorder="1" applyAlignment="1">
      <alignment horizontal="center" vertical="center"/>
    </xf>
    <xf numFmtId="44" fontId="6" fillId="4" borderId="5" xfId="1" applyFont="1" applyFill="1" applyBorder="1" applyAlignment="1">
      <alignment horizontal="center" vertical="center"/>
    </xf>
    <xf numFmtId="44" fontId="2" fillId="2" borderId="5" xfId="1" applyFont="1" applyFill="1" applyBorder="1" applyAlignment="1">
      <alignment horizontal="center" vertical="center"/>
    </xf>
    <xf numFmtId="44" fontId="2" fillId="2" borderId="6" xfId="1" applyFont="1" applyFill="1" applyBorder="1" applyAlignment="1">
      <alignment horizontal="center" vertical="center"/>
    </xf>
    <xf numFmtId="44" fontId="6" fillId="0" borderId="20" xfId="1" applyFont="1" applyBorder="1" applyAlignment="1">
      <alignment horizontal="center" vertical="center"/>
    </xf>
    <xf numFmtId="44" fontId="6" fillId="4" borderId="20" xfId="1" applyFont="1" applyFill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5" fillId="2" borderId="18" xfId="0" applyNumberFormat="1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164" fontId="0" fillId="6" borderId="11" xfId="0" applyNumberFormat="1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/>
    </xf>
    <xf numFmtId="44" fontId="0" fillId="4" borderId="9" xfId="1" applyFont="1" applyFill="1" applyBorder="1" applyAlignment="1">
      <alignment horizontal="center" vertical="center"/>
    </xf>
    <xf numFmtId="44" fontId="4" fillId="2" borderId="9" xfId="1" applyFont="1" applyFill="1" applyBorder="1" applyAlignment="1">
      <alignment horizontal="center" vertical="center"/>
    </xf>
    <xf numFmtId="44" fontId="0" fillId="4" borderId="10" xfId="1" applyFont="1" applyFill="1" applyBorder="1" applyAlignment="1">
      <alignment horizontal="center" vertical="center"/>
    </xf>
    <xf numFmtId="164" fontId="7" fillId="0" borderId="27" xfId="0" applyNumberFormat="1" applyFont="1" applyBorder="1" applyAlignment="1">
      <alignment horizontal="center" vertical="center"/>
    </xf>
    <xf numFmtId="165" fontId="2" fillId="5" borderId="30" xfId="0" applyNumberFormat="1" applyFont="1" applyFill="1" applyBorder="1" applyAlignment="1">
      <alignment horizontal="center" vertical="center"/>
    </xf>
    <xf numFmtId="44" fontId="10" fillId="0" borderId="30" xfId="0" applyNumberFormat="1" applyFont="1" applyFill="1" applyBorder="1" applyAlignment="1">
      <alignment horizontal="center" vertical="center"/>
    </xf>
    <xf numFmtId="44" fontId="2" fillId="2" borderId="31" xfId="1" applyFont="1" applyFill="1" applyBorder="1" applyAlignment="1">
      <alignment horizontal="center" vertical="center"/>
    </xf>
    <xf numFmtId="44" fontId="6" fillId="0" borderId="32" xfId="1" applyFont="1" applyBorder="1" applyAlignment="1">
      <alignment horizontal="center" vertical="center"/>
    </xf>
    <xf numFmtId="44" fontId="2" fillId="2" borderId="32" xfId="1" applyFont="1" applyFill="1" applyBorder="1" applyAlignment="1">
      <alignment horizontal="center" vertical="center"/>
    </xf>
    <xf numFmtId="44" fontId="6" fillId="0" borderId="33" xfId="1" applyFont="1" applyBorder="1" applyAlignment="1">
      <alignment horizontal="center" vertical="center"/>
    </xf>
    <xf numFmtId="165" fontId="2" fillId="5" borderId="4" xfId="0" applyNumberFormat="1" applyFont="1" applyFill="1" applyBorder="1" applyAlignment="1">
      <alignment horizontal="center" vertical="center"/>
    </xf>
    <xf numFmtId="44" fontId="10" fillId="4" borderId="6" xfId="0" applyNumberFormat="1" applyFont="1" applyFill="1" applyBorder="1" applyAlignment="1">
      <alignment horizontal="center" vertical="center"/>
    </xf>
    <xf numFmtId="44" fontId="6" fillId="4" borderId="6" xfId="1" applyFont="1" applyFill="1" applyBorder="1" applyAlignment="1">
      <alignment horizontal="center" vertical="center"/>
    </xf>
    <xf numFmtId="44" fontId="6" fillId="4" borderId="8" xfId="1" applyFont="1" applyFill="1" applyBorder="1" applyAlignment="1">
      <alignment horizontal="center" vertical="center"/>
    </xf>
    <xf numFmtId="44" fontId="1" fillId="4" borderId="9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5" fillId="2" borderId="28" xfId="0" applyNumberFormat="1" applyFont="1" applyFill="1" applyBorder="1" applyAlignment="1">
      <alignment horizontal="center" vertical="center"/>
    </xf>
    <xf numFmtId="164" fontId="7" fillId="0" borderId="35" xfId="0" applyNumberFormat="1" applyFont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44" fontId="14" fillId="2" borderId="2" xfId="1" applyFont="1" applyFill="1" applyBorder="1" applyAlignment="1">
      <alignment horizontal="center" vertical="center" wrapText="1"/>
    </xf>
    <xf numFmtId="44" fontId="14" fillId="2" borderId="22" xfId="1" applyFont="1" applyFill="1" applyBorder="1" applyAlignment="1">
      <alignment horizontal="center" vertical="center" wrapText="1"/>
    </xf>
    <xf numFmtId="44" fontId="14" fillId="2" borderId="2" xfId="1" applyFont="1" applyFill="1" applyBorder="1" applyAlignment="1">
      <alignment horizontal="center" vertical="center"/>
    </xf>
    <xf numFmtId="44" fontId="0" fillId="4" borderId="12" xfId="1" applyFont="1" applyFill="1" applyBorder="1" applyAlignment="1">
      <alignment horizontal="center"/>
    </xf>
    <xf numFmtId="44" fontId="0" fillId="4" borderId="14" xfId="1" applyFont="1" applyFill="1" applyBorder="1" applyAlignment="1">
      <alignment horizontal="center"/>
    </xf>
    <xf numFmtId="44" fontId="0" fillId="12" borderId="34" xfId="1" applyFont="1" applyFill="1" applyBorder="1" applyAlignment="1">
      <alignment horizontal="center"/>
    </xf>
    <xf numFmtId="44" fontId="0" fillId="12" borderId="37" xfId="1" applyFont="1" applyFill="1" applyBorder="1" applyAlignment="1">
      <alignment horizontal="center"/>
    </xf>
    <xf numFmtId="44" fontId="0" fillId="14" borderId="12" xfId="1" applyFont="1" applyFill="1" applyBorder="1" applyAlignment="1">
      <alignment horizontal="center"/>
    </xf>
    <xf numFmtId="44" fontId="0" fillId="14" borderId="11" xfId="1" applyFont="1" applyFill="1" applyBorder="1" applyAlignment="1">
      <alignment horizontal="center"/>
    </xf>
    <xf numFmtId="44" fontId="0" fillId="15" borderId="14" xfId="1" applyFont="1" applyFill="1" applyBorder="1" applyAlignment="1">
      <alignment horizontal="center"/>
    </xf>
    <xf numFmtId="44" fontId="0" fillId="15" borderId="11" xfId="1" applyFont="1" applyFill="1" applyBorder="1" applyAlignment="1">
      <alignment horizontal="center"/>
    </xf>
    <xf numFmtId="44" fontId="0" fillId="15" borderId="38" xfId="1" applyFont="1" applyFill="1" applyBorder="1" applyAlignment="1">
      <alignment horizontal="center"/>
    </xf>
    <xf numFmtId="0" fontId="3" fillId="13" borderId="35" xfId="0" applyFont="1" applyFill="1" applyBorder="1" applyAlignment="1">
      <alignment horizontal="center" vertical="center"/>
    </xf>
    <xf numFmtId="0" fontId="3" fillId="16" borderId="35" xfId="0" applyFont="1" applyFill="1" applyBorder="1" applyAlignment="1">
      <alignment horizontal="center" vertical="center"/>
    </xf>
    <xf numFmtId="0" fontId="3" fillId="11" borderId="4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6" borderId="43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6" borderId="43" xfId="0" applyFill="1" applyBorder="1" applyAlignment="1">
      <alignment horizontal="center" vertical="center"/>
    </xf>
    <xf numFmtId="44" fontId="0" fillId="0" borderId="43" xfId="1" applyFont="1" applyBorder="1" applyAlignment="1">
      <alignment horizontal="center" vertical="center"/>
    </xf>
    <xf numFmtId="0" fontId="3" fillId="16" borderId="17" xfId="0" applyFont="1" applyFill="1" applyBorder="1" applyAlignment="1">
      <alignment horizontal="center" vertical="center"/>
    </xf>
    <xf numFmtId="0" fontId="3" fillId="16" borderId="18" xfId="0" applyFont="1" applyFill="1" applyBorder="1" applyAlignment="1">
      <alignment horizontal="center" vertical="center"/>
    </xf>
    <xf numFmtId="0" fontId="3" fillId="16" borderId="44" xfId="0" applyFont="1" applyFill="1" applyBorder="1" applyAlignment="1">
      <alignment horizontal="center" vertical="center"/>
    </xf>
    <xf numFmtId="166" fontId="0" fillId="12" borderId="38" xfId="1" applyNumberFormat="1" applyFont="1" applyFill="1" applyBorder="1" applyAlignment="1">
      <alignment horizontal="center"/>
    </xf>
    <xf numFmtId="166" fontId="0" fillId="14" borderId="12" xfId="1" applyNumberFormat="1" applyFont="1" applyFill="1" applyBorder="1" applyAlignment="1">
      <alignment horizontal="center"/>
    </xf>
    <xf numFmtId="166" fontId="0" fillId="4" borderId="1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167" fontId="0" fillId="6" borderId="43" xfId="0" applyNumberFormat="1" applyFill="1" applyBorder="1" applyAlignment="1">
      <alignment horizontal="center" vertical="center"/>
    </xf>
    <xf numFmtId="2" fontId="0" fillId="0" borderId="0" xfId="0" applyNumberFormat="1"/>
    <xf numFmtId="16" fontId="0" fillId="0" borderId="0" xfId="0" applyNumberFormat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6" borderId="45" xfId="0" applyFill="1" applyBorder="1" applyAlignment="1">
      <alignment horizontal="center" vertical="center"/>
    </xf>
    <xf numFmtId="2" fontId="0" fillId="6" borderId="1" xfId="0" applyNumberFormat="1" applyFill="1" applyBorder="1" applyAlignment="1">
      <alignment vertical="center"/>
    </xf>
    <xf numFmtId="0" fontId="0" fillId="6" borderId="1" xfId="2" applyNumberFormat="1" applyFont="1" applyFill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44" fontId="0" fillId="0" borderId="0" xfId="1" applyFont="1" applyFill="1" applyBorder="1"/>
    <xf numFmtId="0" fontId="4" fillId="0" borderId="0" xfId="1" applyNumberFormat="1" applyFont="1" applyFill="1" applyBorder="1"/>
    <xf numFmtId="44" fontId="0" fillId="0" borderId="0" xfId="0" applyNumberFormat="1" applyFill="1" applyBorder="1"/>
    <xf numFmtId="44" fontId="0" fillId="0" borderId="0" xfId="1" applyFont="1" applyFill="1" applyBorder="1" applyAlignment="1">
      <alignment horizontal="center" vertical="center"/>
    </xf>
    <xf numFmtId="44" fontId="16" fillId="13" borderId="5" xfId="1" applyFont="1" applyFill="1" applyBorder="1" applyAlignment="1">
      <alignment horizontal="center" vertical="center"/>
    </xf>
    <xf numFmtId="44" fontId="6" fillId="4" borderId="7" xfId="1" applyFont="1" applyFill="1" applyBorder="1" applyAlignment="1">
      <alignment horizontal="center" vertical="center"/>
    </xf>
    <xf numFmtId="44" fontId="16" fillId="0" borderId="32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4" fontId="16" fillId="10" borderId="1" xfId="1" applyFont="1" applyFill="1" applyBorder="1" applyAlignment="1">
      <alignment horizontal="center" vertical="center"/>
    </xf>
    <xf numFmtId="44" fontId="9" fillId="7" borderId="2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0" borderId="44" xfId="0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6" borderId="44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164" fontId="0" fillId="0" borderId="25" xfId="0" applyNumberFormat="1" applyFill="1" applyBorder="1" applyAlignment="1">
      <alignment horizontal="center" vertical="center" wrapText="1"/>
    </xf>
    <xf numFmtId="164" fontId="0" fillId="0" borderId="26" xfId="0" applyNumberFormat="1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164" fontId="0" fillId="0" borderId="27" xfId="0" applyNumberFormat="1" applyFill="1" applyBorder="1" applyAlignment="1">
      <alignment horizontal="center" vertical="center" wrapText="1"/>
    </xf>
    <xf numFmtId="164" fontId="0" fillId="0" borderId="45" xfId="0" applyNumberFormat="1" applyFill="1" applyBorder="1" applyAlignment="1">
      <alignment horizontal="center" vertical="center" wrapText="1"/>
    </xf>
    <xf numFmtId="164" fontId="0" fillId="6" borderId="25" xfId="0" applyNumberFormat="1" applyFill="1" applyBorder="1" applyAlignment="1">
      <alignment horizontal="center" vertical="center"/>
    </xf>
    <xf numFmtId="164" fontId="0" fillId="6" borderId="26" xfId="0" applyNumberFormat="1" applyFill="1" applyBorder="1" applyAlignment="1">
      <alignment horizontal="center" vertical="center"/>
    </xf>
    <xf numFmtId="164" fontId="0" fillId="6" borderId="14" xfId="0" applyNumberForma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45" xfId="0" applyFill="1" applyBorder="1" applyAlignment="1">
      <alignment horizontal="center" vertical="center"/>
    </xf>
    <xf numFmtId="164" fontId="0" fillId="0" borderId="24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6" borderId="25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164" fontId="0" fillId="0" borderId="23" xfId="0" applyNumberFormat="1" applyFill="1" applyBorder="1" applyAlignment="1">
      <alignment horizontal="center" vertical="center" wrapText="1"/>
    </xf>
    <xf numFmtId="164" fontId="0" fillId="6" borderId="25" xfId="0" applyNumberFormat="1" applyFill="1" applyBorder="1" applyAlignment="1">
      <alignment horizontal="center" vertical="center" wrapText="1"/>
    </xf>
    <xf numFmtId="164" fontId="0" fillId="6" borderId="26" xfId="0" applyNumberFormat="1" applyFill="1" applyBorder="1" applyAlignment="1">
      <alignment horizontal="center" vertical="center" wrapText="1"/>
    </xf>
    <xf numFmtId="164" fontId="0" fillId="6" borderId="14" xfId="0" applyNumberFormat="1" applyFill="1" applyBorder="1" applyAlignment="1">
      <alignment horizontal="center" vertical="center" wrapText="1"/>
    </xf>
    <xf numFmtId="0" fontId="0" fillId="6" borderId="45" xfId="0" applyFill="1" applyBorder="1" applyAlignment="1">
      <alignment horizontal="center" vertical="center" wrapText="1"/>
    </xf>
    <xf numFmtId="164" fontId="0" fillId="6" borderId="27" xfId="0" applyNumberFormat="1" applyFill="1" applyBorder="1" applyAlignment="1">
      <alignment horizontal="center" vertical="center" wrapText="1"/>
    </xf>
    <xf numFmtId="164" fontId="0" fillId="6" borderId="45" xfId="0" applyNumberForma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4" fontId="12" fillId="9" borderId="25" xfId="0" applyNumberFormat="1" applyFont="1" applyFill="1" applyBorder="1" applyAlignment="1">
      <alignment horizontal="center" vertical="center" wrapText="1"/>
    </xf>
    <xf numFmtId="164" fontId="12" fillId="9" borderId="14" xfId="0" applyNumberFormat="1" applyFont="1" applyFill="1" applyBorder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 wrapText="1"/>
    </xf>
    <xf numFmtId="164" fontId="0" fillId="0" borderId="26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164" fontId="0" fillId="0" borderId="29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64" fontId="0" fillId="17" borderId="25" xfId="0" applyNumberFormat="1" applyFill="1" applyBorder="1" applyAlignment="1">
      <alignment horizontal="center" vertical="center" wrapText="1"/>
    </xf>
    <xf numFmtId="164" fontId="0" fillId="17" borderId="26" xfId="0" applyNumberFormat="1" applyFill="1" applyBorder="1" applyAlignment="1">
      <alignment horizontal="center" vertical="center" wrapText="1"/>
    </xf>
    <xf numFmtId="164" fontId="0" fillId="17" borderId="14" xfId="0" applyNumberFormat="1" applyFill="1" applyBorder="1" applyAlignment="1">
      <alignment horizontal="center" vertical="center" wrapText="1"/>
    </xf>
    <xf numFmtId="164" fontId="0" fillId="17" borderId="27" xfId="0" applyNumberFormat="1" applyFill="1" applyBorder="1" applyAlignment="1">
      <alignment horizontal="center" vertical="center" wrapText="1"/>
    </xf>
    <xf numFmtId="164" fontId="0" fillId="17" borderId="45" xfId="0" applyNumberFormat="1" applyFill="1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164" fontId="0" fillId="6" borderId="27" xfId="0" applyNumberFormat="1" applyFill="1" applyBorder="1" applyAlignment="1">
      <alignment horizontal="center" vertical="center"/>
    </xf>
    <xf numFmtId="164" fontId="0" fillId="6" borderId="45" xfId="0" applyNumberFormat="1" applyFill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4" fontId="9" fillId="3" borderId="15" xfId="0" applyNumberFormat="1" applyFont="1" applyFill="1" applyBorder="1" applyAlignment="1">
      <alignment horizontal="center" vertical="center"/>
    </xf>
    <xf numFmtId="44" fontId="9" fillId="3" borderId="22" xfId="0" applyNumberFormat="1" applyFont="1" applyFill="1" applyBorder="1" applyAlignment="1">
      <alignment horizontal="center" vertical="center"/>
    </xf>
    <xf numFmtId="44" fontId="9" fillId="3" borderId="16" xfId="0" applyNumberFormat="1" applyFont="1" applyFill="1" applyBorder="1" applyAlignment="1">
      <alignment horizontal="center" vertical="center"/>
    </xf>
    <xf numFmtId="44" fontId="9" fillId="2" borderId="15" xfId="0" applyNumberFormat="1" applyFont="1" applyFill="1" applyBorder="1" applyAlignment="1">
      <alignment horizontal="center" vertical="center"/>
    </xf>
    <xf numFmtId="44" fontId="9" fillId="2" borderId="16" xfId="0" applyNumberFormat="1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15" fillId="2" borderId="3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16" xfId="0" applyFont="1" applyBorder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2">
    <dxf>
      <fill>
        <patternFill>
          <bgColor theme="9"/>
        </patternFill>
      </fill>
    </dxf>
    <dxf>
      <font>
        <color theme="9"/>
      </font>
      <fill>
        <patternFill>
          <bgColor theme="9"/>
        </patternFill>
      </fill>
    </dxf>
  </dxfs>
  <tableStyles count="0" defaultTableStyle="TableStyleMedium2" defaultPivotStyle="PivotStyleLight16"/>
  <colors>
    <mruColors>
      <color rgb="FFD6ED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2</xdr:row>
      <xdr:rowOff>144779</xdr:rowOff>
    </xdr:from>
    <xdr:to>
      <xdr:col>8</xdr:col>
      <xdr:colOff>205200</xdr:colOff>
      <xdr:row>20</xdr:row>
      <xdr:rowOff>92939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40079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434340</xdr:colOff>
      <xdr:row>2</xdr:row>
      <xdr:rowOff>96764</xdr:rowOff>
    </xdr:from>
    <xdr:to>
      <xdr:col>22</xdr:col>
      <xdr:colOff>487140</xdr:colOff>
      <xdr:row>20</xdr:row>
      <xdr:rowOff>44924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8340" y="592064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297180</xdr:colOff>
      <xdr:row>2</xdr:row>
      <xdr:rowOff>132360</xdr:rowOff>
    </xdr:from>
    <xdr:to>
      <xdr:col>15</xdr:col>
      <xdr:colOff>349980</xdr:colOff>
      <xdr:row>20</xdr:row>
      <xdr:rowOff>80520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980" y="6276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106680</xdr:colOff>
      <xdr:row>22</xdr:row>
      <xdr:rowOff>121920</xdr:rowOff>
    </xdr:from>
    <xdr:to>
      <xdr:col>8</xdr:col>
      <xdr:colOff>159480</xdr:colOff>
      <xdr:row>40</xdr:row>
      <xdr:rowOff>70080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44043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297180</xdr:colOff>
      <xdr:row>22</xdr:row>
      <xdr:rowOff>129540</xdr:rowOff>
    </xdr:from>
    <xdr:to>
      <xdr:col>15</xdr:col>
      <xdr:colOff>349980</xdr:colOff>
      <xdr:row>40</xdr:row>
      <xdr:rowOff>77700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3980" y="44119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457200</xdr:colOff>
      <xdr:row>22</xdr:row>
      <xdr:rowOff>129540</xdr:rowOff>
    </xdr:from>
    <xdr:to>
      <xdr:col>22</xdr:col>
      <xdr:colOff>510000</xdr:colOff>
      <xdr:row>40</xdr:row>
      <xdr:rowOff>77700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44119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91440</xdr:colOff>
      <xdr:row>42</xdr:row>
      <xdr:rowOff>106680</xdr:rowOff>
    </xdr:from>
    <xdr:to>
      <xdr:col>8</xdr:col>
      <xdr:colOff>144240</xdr:colOff>
      <xdr:row>60</xdr:row>
      <xdr:rowOff>54840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81762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271920</xdr:colOff>
      <xdr:row>42</xdr:row>
      <xdr:rowOff>104280</xdr:rowOff>
    </xdr:from>
    <xdr:to>
      <xdr:col>15</xdr:col>
      <xdr:colOff>324720</xdr:colOff>
      <xdr:row>60</xdr:row>
      <xdr:rowOff>52440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8720" y="81738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452400</xdr:colOff>
      <xdr:row>42</xdr:row>
      <xdr:rowOff>124740</xdr:rowOff>
    </xdr:from>
    <xdr:to>
      <xdr:col>22</xdr:col>
      <xdr:colOff>505200</xdr:colOff>
      <xdr:row>60</xdr:row>
      <xdr:rowOff>72900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00" y="819432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99060</xdr:colOff>
      <xdr:row>62</xdr:row>
      <xdr:rowOff>91440</xdr:rowOff>
    </xdr:from>
    <xdr:to>
      <xdr:col>8</xdr:col>
      <xdr:colOff>151860</xdr:colOff>
      <xdr:row>80</xdr:row>
      <xdr:rowOff>39600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119481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274320</xdr:colOff>
      <xdr:row>62</xdr:row>
      <xdr:rowOff>91440</xdr:rowOff>
    </xdr:from>
    <xdr:to>
      <xdr:col>15</xdr:col>
      <xdr:colOff>327120</xdr:colOff>
      <xdr:row>80</xdr:row>
      <xdr:rowOff>39600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119481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454800</xdr:colOff>
      <xdr:row>62</xdr:row>
      <xdr:rowOff>104280</xdr:rowOff>
    </xdr:from>
    <xdr:to>
      <xdr:col>22</xdr:col>
      <xdr:colOff>507600</xdr:colOff>
      <xdr:row>80</xdr:row>
      <xdr:rowOff>52440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8800" y="119610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99060</xdr:colOff>
      <xdr:row>82</xdr:row>
      <xdr:rowOff>106680</xdr:rowOff>
    </xdr:from>
    <xdr:to>
      <xdr:col>8</xdr:col>
      <xdr:colOff>151860</xdr:colOff>
      <xdr:row>100</xdr:row>
      <xdr:rowOff>54840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1575054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271920</xdr:colOff>
      <xdr:row>82</xdr:row>
      <xdr:rowOff>111900</xdr:rowOff>
    </xdr:from>
    <xdr:to>
      <xdr:col>15</xdr:col>
      <xdr:colOff>324720</xdr:colOff>
      <xdr:row>100</xdr:row>
      <xdr:rowOff>60060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8720" y="157557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449580</xdr:colOff>
      <xdr:row>82</xdr:row>
      <xdr:rowOff>114300</xdr:rowOff>
    </xdr:from>
    <xdr:to>
      <xdr:col>22</xdr:col>
      <xdr:colOff>502380</xdr:colOff>
      <xdr:row>100</xdr:row>
      <xdr:rowOff>62460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3580" y="157581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99060</xdr:colOff>
      <xdr:row>102</xdr:row>
      <xdr:rowOff>114300</xdr:rowOff>
    </xdr:from>
    <xdr:to>
      <xdr:col>8</xdr:col>
      <xdr:colOff>151860</xdr:colOff>
      <xdr:row>120</xdr:row>
      <xdr:rowOff>62460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" y="195453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279540</xdr:colOff>
      <xdr:row>102</xdr:row>
      <xdr:rowOff>111900</xdr:rowOff>
    </xdr:from>
    <xdr:to>
      <xdr:col>15</xdr:col>
      <xdr:colOff>332340</xdr:colOff>
      <xdr:row>120</xdr:row>
      <xdr:rowOff>60060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6340" y="195429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444780</xdr:colOff>
      <xdr:row>102</xdr:row>
      <xdr:rowOff>124740</xdr:rowOff>
    </xdr:from>
    <xdr:to>
      <xdr:col>22</xdr:col>
      <xdr:colOff>497580</xdr:colOff>
      <xdr:row>120</xdr:row>
      <xdr:rowOff>72900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780" y="1955574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76200</xdr:colOff>
      <xdr:row>122</xdr:row>
      <xdr:rowOff>83820</xdr:rowOff>
    </xdr:from>
    <xdr:to>
      <xdr:col>8</xdr:col>
      <xdr:colOff>129000</xdr:colOff>
      <xdr:row>140</xdr:row>
      <xdr:rowOff>31980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33019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449580</xdr:colOff>
      <xdr:row>122</xdr:row>
      <xdr:rowOff>99060</xdr:rowOff>
    </xdr:from>
    <xdr:to>
      <xdr:col>22</xdr:col>
      <xdr:colOff>502380</xdr:colOff>
      <xdr:row>140</xdr:row>
      <xdr:rowOff>47220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3580" y="233172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271920</xdr:colOff>
      <xdr:row>122</xdr:row>
      <xdr:rowOff>96660</xdr:rowOff>
    </xdr:from>
    <xdr:to>
      <xdr:col>15</xdr:col>
      <xdr:colOff>324720</xdr:colOff>
      <xdr:row>140</xdr:row>
      <xdr:rowOff>44820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8720" y="233148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68580</xdr:colOff>
      <xdr:row>142</xdr:row>
      <xdr:rowOff>99060</xdr:rowOff>
    </xdr:from>
    <xdr:to>
      <xdr:col>8</xdr:col>
      <xdr:colOff>121380</xdr:colOff>
      <xdr:row>160</xdr:row>
      <xdr:rowOff>47220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2710434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68580</xdr:colOff>
      <xdr:row>160</xdr:row>
      <xdr:rowOff>121920</xdr:rowOff>
    </xdr:from>
    <xdr:to>
      <xdr:col>8</xdr:col>
      <xdr:colOff>121380</xdr:colOff>
      <xdr:row>178</xdr:row>
      <xdr:rowOff>70080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3041904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233820</xdr:colOff>
      <xdr:row>142</xdr:row>
      <xdr:rowOff>111900</xdr:rowOff>
    </xdr:from>
    <xdr:to>
      <xdr:col>15</xdr:col>
      <xdr:colOff>286620</xdr:colOff>
      <xdr:row>160</xdr:row>
      <xdr:rowOff>60060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0620" y="271171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437160</xdr:colOff>
      <xdr:row>142</xdr:row>
      <xdr:rowOff>117120</xdr:rowOff>
    </xdr:from>
    <xdr:to>
      <xdr:col>22</xdr:col>
      <xdr:colOff>489960</xdr:colOff>
      <xdr:row>160</xdr:row>
      <xdr:rowOff>65280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1160" y="271224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434340</xdr:colOff>
      <xdr:row>160</xdr:row>
      <xdr:rowOff>144780</xdr:rowOff>
    </xdr:from>
    <xdr:to>
      <xdr:col>22</xdr:col>
      <xdr:colOff>487140</xdr:colOff>
      <xdr:row>178</xdr:row>
      <xdr:rowOff>92940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8340" y="304419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226200</xdr:colOff>
      <xdr:row>160</xdr:row>
      <xdr:rowOff>134760</xdr:rowOff>
    </xdr:from>
    <xdr:to>
      <xdr:col>15</xdr:col>
      <xdr:colOff>279000</xdr:colOff>
      <xdr:row>178</xdr:row>
      <xdr:rowOff>82920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3000" y="304318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79020</xdr:colOff>
      <xdr:row>178</xdr:row>
      <xdr:rowOff>155220</xdr:rowOff>
    </xdr:from>
    <xdr:to>
      <xdr:col>8</xdr:col>
      <xdr:colOff>131820</xdr:colOff>
      <xdr:row>196</xdr:row>
      <xdr:rowOff>103380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620" y="337441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244260</xdr:colOff>
      <xdr:row>178</xdr:row>
      <xdr:rowOff>160440</xdr:rowOff>
    </xdr:from>
    <xdr:to>
      <xdr:col>15</xdr:col>
      <xdr:colOff>297060</xdr:colOff>
      <xdr:row>196</xdr:row>
      <xdr:rowOff>108600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60" y="337494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419100</xdr:colOff>
      <xdr:row>178</xdr:row>
      <xdr:rowOff>160020</xdr:rowOff>
    </xdr:from>
    <xdr:to>
      <xdr:col>22</xdr:col>
      <xdr:colOff>471900</xdr:colOff>
      <xdr:row>196</xdr:row>
      <xdr:rowOff>108180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3374898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</xdr:col>
      <xdr:colOff>68580</xdr:colOff>
      <xdr:row>197</xdr:row>
      <xdr:rowOff>7620</xdr:rowOff>
    </xdr:from>
    <xdr:to>
      <xdr:col>8</xdr:col>
      <xdr:colOff>121380</xdr:colOff>
      <xdr:row>214</xdr:row>
      <xdr:rowOff>138660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3707130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8</xdr:col>
      <xdr:colOff>261900</xdr:colOff>
      <xdr:row>197</xdr:row>
      <xdr:rowOff>25680</xdr:rowOff>
    </xdr:from>
    <xdr:to>
      <xdr:col>15</xdr:col>
      <xdr:colOff>314700</xdr:colOff>
      <xdr:row>214</xdr:row>
      <xdr:rowOff>156720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8700" y="370893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  <xdr:twoCellAnchor editAs="oneCell">
    <xdr:from>
      <xdr:col>15</xdr:col>
      <xdr:colOff>427140</xdr:colOff>
      <xdr:row>197</xdr:row>
      <xdr:rowOff>23280</xdr:rowOff>
    </xdr:from>
    <xdr:to>
      <xdr:col>22</xdr:col>
      <xdr:colOff>479940</xdr:colOff>
      <xdr:row>214</xdr:row>
      <xdr:rowOff>154320</xdr:rowOff>
    </xdr:to>
    <xdr:pic>
      <xdr:nvPicPr>
        <xdr:cNvPr id="36" name="Imagem 35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1140" y="37086960"/>
          <a:ext cx="4320000" cy="3240000"/>
        </a:xfrm>
        <a:prstGeom prst="rect">
          <a:avLst/>
        </a:prstGeom>
        <a:effectLst>
          <a:glow rad="12700">
            <a:schemeClr val="accent1">
              <a:alpha val="40000"/>
            </a:schemeClr>
          </a:glow>
          <a:outerShdw blurRad="228600" dist="114300" dir="4620000" sx="62000" sy="62000" algn="tl" rotWithShape="0">
            <a:prstClr val="black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31"/>
  <sheetViews>
    <sheetView showGridLines="0"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4" sqref="D34"/>
    </sheetView>
  </sheetViews>
  <sheetFormatPr defaultRowHeight="14.4" x14ac:dyDescent="0.3"/>
  <cols>
    <col min="1" max="1" width="2.88671875" style="2" customWidth="1"/>
    <col min="2" max="2" width="12.109375" style="2" customWidth="1"/>
    <col min="3" max="3" width="36.77734375" style="2" customWidth="1"/>
    <col min="4" max="4" width="33.5546875" style="2" bestFit="1" customWidth="1"/>
    <col min="5" max="5" width="35.21875" style="2" bestFit="1" customWidth="1"/>
    <col min="6" max="6" width="40.77734375" style="2" bestFit="1" customWidth="1"/>
    <col min="7" max="7" width="36.88671875" style="2" bestFit="1" customWidth="1"/>
    <col min="8" max="8" width="44.21875" style="2" bestFit="1" customWidth="1"/>
    <col min="9" max="9" width="38.6640625" style="2" bestFit="1" customWidth="1"/>
    <col min="10" max="11" width="41" style="2" bestFit="1" customWidth="1"/>
    <col min="12" max="12" width="37.44140625" style="2" bestFit="1" customWidth="1"/>
    <col min="13" max="13" width="41.21875" style="2" bestFit="1" customWidth="1"/>
    <col min="14" max="14" width="35.33203125" style="2" bestFit="1" customWidth="1"/>
    <col min="15" max="15" width="36.6640625" style="2" bestFit="1" customWidth="1"/>
    <col min="16" max="16" width="36.5546875" style="2" bestFit="1" customWidth="1"/>
    <col min="17" max="17" width="35" style="2" bestFit="1" customWidth="1"/>
    <col min="18" max="18" width="37.5546875" style="2" bestFit="1" customWidth="1"/>
    <col min="19" max="19" width="34.44140625" style="2" bestFit="1" customWidth="1"/>
    <col min="20" max="20" width="40" style="2" bestFit="1" customWidth="1"/>
    <col min="21" max="21" width="36.21875" style="2" bestFit="1" customWidth="1"/>
    <col min="22" max="22" width="38" style="2" bestFit="1" customWidth="1"/>
    <col min="23" max="23" width="38.44140625" style="2" customWidth="1"/>
    <col min="24" max="24" width="36.44140625" style="2" bestFit="1" customWidth="1"/>
    <col min="25" max="25" width="35.44140625" style="2" customWidth="1"/>
    <col min="26" max="26" width="34.44140625" style="2" bestFit="1" customWidth="1"/>
    <col min="27" max="27" width="40" style="2" bestFit="1" customWidth="1"/>
    <col min="28" max="28" width="36.21875" style="2" bestFit="1" customWidth="1"/>
    <col min="29" max="29" width="38" style="2" bestFit="1" customWidth="1"/>
    <col min="30" max="30" width="41.88671875" style="2" bestFit="1" customWidth="1"/>
    <col min="31" max="31" width="42.33203125" style="2" bestFit="1" customWidth="1"/>
    <col min="32" max="16384" width="8.88671875" style="2"/>
  </cols>
  <sheetData>
    <row r="1" spans="2:31" ht="13.8" customHeight="1" thickBot="1" x14ac:dyDescent="0.35"/>
    <row r="2" spans="2:31" s="8" customFormat="1" ht="18.600000000000001" thickBot="1" x14ac:dyDescent="0.35">
      <c r="B2" s="32" t="s">
        <v>0</v>
      </c>
      <c r="C2" s="33">
        <v>42545</v>
      </c>
      <c r="D2" s="34">
        <v>42546</v>
      </c>
      <c r="E2" s="34">
        <v>42547</v>
      </c>
      <c r="F2" s="35">
        <v>42548</v>
      </c>
      <c r="G2" s="35">
        <v>42549</v>
      </c>
      <c r="H2" s="35">
        <v>42550</v>
      </c>
      <c r="I2" s="35">
        <v>42551</v>
      </c>
      <c r="J2" s="35">
        <v>42552</v>
      </c>
      <c r="K2" s="35">
        <v>42553</v>
      </c>
      <c r="L2" s="35">
        <v>42554</v>
      </c>
      <c r="M2" s="35">
        <v>42555</v>
      </c>
      <c r="N2" s="35">
        <v>42556</v>
      </c>
      <c r="O2" s="35">
        <v>42557</v>
      </c>
      <c r="P2" s="35">
        <v>42558</v>
      </c>
      <c r="Q2" s="35">
        <v>42559</v>
      </c>
      <c r="R2" s="35">
        <v>42560</v>
      </c>
      <c r="S2" s="58">
        <v>42561</v>
      </c>
      <c r="T2" s="41">
        <v>42562</v>
      </c>
      <c r="U2" s="35">
        <v>42563</v>
      </c>
      <c r="V2" s="35">
        <v>42564</v>
      </c>
      <c r="W2" s="35">
        <v>42565</v>
      </c>
      <c r="X2" s="35">
        <v>42566</v>
      </c>
      <c r="Y2" s="35">
        <v>42567</v>
      </c>
      <c r="Z2" s="35">
        <v>42568</v>
      </c>
      <c r="AA2" s="35">
        <v>42569</v>
      </c>
      <c r="AB2" s="35">
        <v>42570</v>
      </c>
      <c r="AC2" s="35">
        <v>42571</v>
      </c>
      <c r="AD2" s="36">
        <v>42572</v>
      </c>
      <c r="AE2" s="36">
        <v>42573</v>
      </c>
    </row>
    <row r="3" spans="2:31" ht="15.6" x14ac:dyDescent="0.3">
      <c r="B3" s="59" t="s">
        <v>11</v>
      </c>
      <c r="C3" s="168" t="s">
        <v>61</v>
      </c>
      <c r="D3" s="170" t="str">
        <f>C26</f>
        <v>1900 HOSTEL</v>
      </c>
      <c r="E3" s="159" t="str">
        <f>D25</f>
        <v>ÔNIBUS LIMA X HUARAZ</v>
      </c>
      <c r="F3" s="170" t="str">
        <f>E24</f>
        <v>ALPAMAYO HOTE</v>
      </c>
      <c r="G3" s="159" t="str">
        <f>F25</f>
        <v>ALPAMAYO HOTE</v>
      </c>
      <c r="H3" s="140" t="str">
        <f>G24</f>
        <v>HUARAZ X TRUJILLO</v>
      </c>
      <c r="I3" s="159" t="str">
        <f>H19</f>
        <v>TRUJILLO X CHACHAPOYAS</v>
      </c>
      <c r="J3" s="140" t="str">
        <f>I21</f>
        <v>HOME BACKPECKERS HOSTEL</v>
      </c>
      <c r="K3" s="159" t="str">
        <f>J21</f>
        <v>HOME BACKPECKERS HOSTEL</v>
      </c>
      <c r="L3" s="170" t="str">
        <f>K14</f>
        <v>CHACHAPOYAS X LIMA (22h)</v>
      </c>
      <c r="M3" s="159" t="str">
        <f>L19</f>
        <v>HOTEL CASA ARENA</v>
      </c>
      <c r="N3" s="170" t="str">
        <f>M23</f>
        <v>HOTEL CASA ARENA</v>
      </c>
      <c r="O3" s="185" t="str">
        <f>N23</f>
        <v>ICA X AREQUIPA (12h) CRUZ DEL SUL</v>
      </c>
      <c r="P3" s="140" t="str">
        <f>O23</f>
        <v>HOTEL AFEQUIPA</v>
      </c>
      <c r="Q3" s="159" t="str">
        <f>P7</f>
        <v>CANYON COLCA</v>
      </c>
      <c r="R3" s="170" t="str">
        <f>Q3</f>
        <v>CANYON COLCA</v>
      </c>
      <c r="S3" s="145" t="str">
        <f>R24</f>
        <v>AREQUIPA X PUNO</v>
      </c>
      <c r="T3" s="152" t="str">
        <f>S22</f>
        <v>HOTEL EM PUNO</v>
      </c>
      <c r="U3" s="159" t="str">
        <f>T25</f>
        <v>PUNO X CUSCO</v>
      </c>
      <c r="V3" s="140" t="str">
        <f>U23</f>
        <v>HOTEL INKAS GARDEN</v>
      </c>
      <c r="W3" s="154" t="str">
        <f>V23</f>
        <v>HOTEL INKAS GARDEN</v>
      </c>
      <c r="X3" s="140" t="str">
        <f>W22</f>
        <v>HOSTEL ÁGUAS CALIENTES</v>
      </c>
      <c r="Y3" s="154" t="str">
        <f>X21</f>
        <v>HOSTEL ÁGUAS CALIENTES</v>
      </c>
      <c r="Z3" s="140" t="str">
        <f>Y26</f>
        <v>HOTEL EL IMPERIO</v>
      </c>
      <c r="AA3" s="145" t="str">
        <f>Z22</f>
        <v>HOTEL EL IMPERIO</v>
      </c>
      <c r="AB3" s="193" t="str">
        <f>AA22</f>
        <v>HOTEL EL IMPERIO</v>
      </c>
      <c r="AC3" s="159" t="str">
        <f>AB17</f>
        <v>CUSCO X LIMA (CRUZ DEL SUL) 21h00</v>
      </c>
      <c r="AD3" s="182" t="str">
        <f>AC22</f>
        <v>GRAN HOTEL</v>
      </c>
      <c r="AE3" s="159" t="str">
        <f>AD23</f>
        <v>AEROPORTO DE SÃO PAULO GRU</v>
      </c>
    </row>
    <row r="4" spans="2:31" ht="15.6" x14ac:dyDescent="0.3">
      <c r="B4" s="31" t="s">
        <v>12</v>
      </c>
      <c r="C4" s="169"/>
      <c r="D4" s="171"/>
      <c r="E4" s="160"/>
      <c r="F4" s="171"/>
      <c r="G4" s="160"/>
      <c r="H4" s="141"/>
      <c r="I4" s="160"/>
      <c r="J4" s="141"/>
      <c r="K4" s="160"/>
      <c r="L4" s="171"/>
      <c r="M4" s="160"/>
      <c r="N4" s="171"/>
      <c r="O4" s="186"/>
      <c r="P4" s="141"/>
      <c r="Q4" s="160"/>
      <c r="R4" s="171"/>
      <c r="S4" s="146"/>
      <c r="T4" s="153"/>
      <c r="U4" s="160"/>
      <c r="V4" s="141"/>
      <c r="W4" s="149"/>
      <c r="X4" s="141"/>
      <c r="Y4" s="149"/>
      <c r="Z4" s="141"/>
      <c r="AA4" s="146"/>
      <c r="AB4" s="194"/>
      <c r="AC4" s="160"/>
      <c r="AD4" s="183"/>
      <c r="AE4" s="160"/>
    </row>
    <row r="5" spans="2:31" ht="15.6" x14ac:dyDescent="0.3">
      <c r="B5" s="31" t="s">
        <v>13</v>
      </c>
      <c r="C5" s="37" t="s">
        <v>36</v>
      </c>
      <c r="D5" s="171"/>
      <c r="E5" s="160"/>
      <c r="F5" s="171"/>
      <c r="G5" s="160"/>
      <c r="H5" s="141"/>
      <c r="I5" s="160"/>
      <c r="J5" s="141"/>
      <c r="K5" s="160"/>
      <c r="L5" s="171"/>
      <c r="M5" s="160"/>
      <c r="N5" s="171"/>
      <c r="O5" s="186"/>
      <c r="P5" s="141"/>
      <c r="Q5" s="160"/>
      <c r="R5" s="171"/>
      <c r="S5" s="146"/>
      <c r="T5" s="153"/>
      <c r="U5" s="160"/>
      <c r="V5" s="141"/>
      <c r="W5" s="149"/>
      <c r="X5" s="141"/>
      <c r="Y5" s="149"/>
      <c r="Z5" s="141"/>
      <c r="AA5" s="146"/>
      <c r="AB5" s="194"/>
      <c r="AC5" s="160"/>
      <c r="AD5" s="183"/>
      <c r="AE5" s="160"/>
    </row>
    <row r="6" spans="2:31" ht="15.6" x14ac:dyDescent="0.3">
      <c r="B6" s="31" t="s">
        <v>10</v>
      </c>
      <c r="C6" s="165" t="s">
        <v>35</v>
      </c>
      <c r="D6" s="171"/>
      <c r="E6" s="160"/>
      <c r="F6" s="171"/>
      <c r="G6" s="160"/>
      <c r="H6" s="141"/>
      <c r="I6" s="160"/>
      <c r="J6" s="141"/>
      <c r="K6" s="160"/>
      <c r="L6" s="171"/>
      <c r="M6" s="160"/>
      <c r="N6" s="171"/>
      <c r="O6" s="186"/>
      <c r="P6" s="142"/>
      <c r="Q6" s="160"/>
      <c r="R6" s="171"/>
      <c r="S6" s="147"/>
      <c r="T6" s="153"/>
      <c r="U6" s="160"/>
      <c r="V6" s="141"/>
      <c r="W6" s="149"/>
      <c r="X6" s="141"/>
      <c r="Y6" s="149"/>
      <c r="Z6" s="141"/>
      <c r="AA6" s="147"/>
      <c r="AB6" s="194"/>
      <c r="AC6" s="160"/>
      <c r="AD6" s="183"/>
      <c r="AE6" s="160"/>
    </row>
    <row r="7" spans="2:31" ht="15.6" x14ac:dyDescent="0.3">
      <c r="B7" s="31" t="s">
        <v>14</v>
      </c>
      <c r="C7" s="165"/>
      <c r="D7" s="171"/>
      <c r="E7" s="160"/>
      <c r="F7" s="171"/>
      <c r="G7" s="160"/>
      <c r="H7" s="142"/>
      <c r="I7" s="160"/>
      <c r="J7" s="141"/>
      <c r="K7" s="160"/>
      <c r="L7" s="171"/>
      <c r="M7" s="160"/>
      <c r="N7" s="171"/>
      <c r="O7" s="186"/>
      <c r="P7" s="143" t="s">
        <v>109</v>
      </c>
      <c r="Q7" s="160"/>
      <c r="R7" s="171"/>
      <c r="S7" s="155" t="s">
        <v>111</v>
      </c>
      <c r="T7" s="153"/>
      <c r="U7" s="160"/>
      <c r="V7" s="141"/>
      <c r="W7" s="149"/>
      <c r="X7" s="142"/>
      <c r="Y7" s="149"/>
      <c r="Z7" s="141"/>
      <c r="AA7" s="148" t="s">
        <v>67</v>
      </c>
      <c r="AB7" s="194"/>
      <c r="AC7" s="160"/>
      <c r="AD7" s="183"/>
      <c r="AE7" s="160"/>
    </row>
    <row r="8" spans="2:31" ht="15.6" customHeight="1" x14ac:dyDescent="0.3">
      <c r="B8" s="31" t="s">
        <v>15</v>
      </c>
      <c r="C8" s="165"/>
      <c r="D8" s="171"/>
      <c r="E8" s="160"/>
      <c r="F8" s="172"/>
      <c r="G8" s="160"/>
      <c r="H8" s="143" t="s">
        <v>100</v>
      </c>
      <c r="I8" s="160"/>
      <c r="J8" s="141"/>
      <c r="K8" s="160"/>
      <c r="L8" s="171"/>
      <c r="M8" s="160"/>
      <c r="N8" s="171"/>
      <c r="O8" s="186"/>
      <c r="P8" s="141"/>
      <c r="Q8" s="160"/>
      <c r="R8" s="171"/>
      <c r="S8" s="156"/>
      <c r="T8" s="153"/>
      <c r="U8" s="161"/>
      <c r="V8" s="141"/>
      <c r="W8" s="149"/>
      <c r="X8" s="143" t="s">
        <v>66</v>
      </c>
      <c r="Y8" s="149"/>
      <c r="Z8" s="141"/>
      <c r="AA8" s="149"/>
      <c r="AB8" s="194"/>
      <c r="AC8" s="160"/>
      <c r="AD8" s="183"/>
      <c r="AE8" s="160"/>
    </row>
    <row r="9" spans="2:31" ht="15.6" customHeight="1" x14ac:dyDescent="0.3">
      <c r="B9" s="31" t="s">
        <v>16</v>
      </c>
      <c r="C9" s="165"/>
      <c r="D9" s="171"/>
      <c r="E9" s="160"/>
      <c r="F9" s="173" t="s">
        <v>62</v>
      </c>
      <c r="G9" s="163" t="s">
        <v>96</v>
      </c>
      <c r="H9" s="141"/>
      <c r="I9" s="160"/>
      <c r="J9" s="141"/>
      <c r="K9" s="160"/>
      <c r="L9" s="171"/>
      <c r="M9" s="160"/>
      <c r="N9" s="172"/>
      <c r="O9" s="186"/>
      <c r="P9" s="141"/>
      <c r="Q9" s="160"/>
      <c r="R9" s="171"/>
      <c r="S9" s="156"/>
      <c r="T9" s="158"/>
      <c r="U9" s="155" t="s">
        <v>116</v>
      </c>
      <c r="V9" s="142"/>
      <c r="W9" s="150"/>
      <c r="X9" s="141"/>
      <c r="Y9" s="149"/>
      <c r="Z9" s="141"/>
      <c r="AA9" s="149"/>
      <c r="AB9" s="194"/>
      <c r="AC9" s="160"/>
      <c r="AD9" s="184"/>
      <c r="AE9" s="161"/>
    </row>
    <row r="10" spans="2:31" ht="15.6" customHeight="1" x14ac:dyDescent="0.3">
      <c r="B10" s="31" t="s">
        <v>17</v>
      </c>
      <c r="C10" s="155" t="s">
        <v>88</v>
      </c>
      <c r="D10" s="171"/>
      <c r="E10" s="160"/>
      <c r="F10" s="173"/>
      <c r="G10" s="160"/>
      <c r="H10" s="141"/>
      <c r="I10" s="161"/>
      <c r="J10" s="142"/>
      <c r="K10" s="160"/>
      <c r="L10" s="171"/>
      <c r="M10" s="160"/>
      <c r="N10" s="190" t="s">
        <v>105</v>
      </c>
      <c r="O10" s="186"/>
      <c r="P10" s="141"/>
      <c r="Q10" s="160"/>
      <c r="R10" s="171"/>
      <c r="S10" s="156"/>
      <c r="T10" s="143" t="s">
        <v>114</v>
      </c>
      <c r="U10" s="156"/>
      <c r="V10" s="143" t="s">
        <v>65</v>
      </c>
      <c r="W10" s="155" t="s">
        <v>118</v>
      </c>
      <c r="X10" s="141"/>
      <c r="Y10" s="149"/>
      <c r="Z10" s="141"/>
      <c r="AA10" s="149"/>
      <c r="AB10" s="194"/>
      <c r="AC10" s="160"/>
      <c r="AD10" s="40" t="s">
        <v>59</v>
      </c>
      <c r="AE10" s="155" t="s">
        <v>57</v>
      </c>
    </row>
    <row r="11" spans="2:31" ht="15.6" customHeight="1" x14ac:dyDescent="0.3">
      <c r="B11" s="31" t="s">
        <v>18</v>
      </c>
      <c r="C11" s="156"/>
      <c r="D11" s="171"/>
      <c r="E11" s="161"/>
      <c r="F11" s="173"/>
      <c r="G11" s="160"/>
      <c r="H11" s="141"/>
      <c r="I11" s="163" t="s">
        <v>101</v>
      </c>
      <c r="J11" s="178" t="s">
        <v>63</v>
      </c>
      <c r="K11" s="160"/>
      <c r="L11" s="171"/>
      <c r="M11" s="160"/>
      <c r="N11" s="171"/>
      <c r="O11" s="187"/>
      <c r="P11" s="141"/>
      <c r="Q11" s="160"/>
      <c r="R11" s="171"/>
      <c r="S11" s="156"/>
      <c r="T11" s="141"/>
      <c r="U11" s="156"/>
      <c r="V11" s="141"/>
      <c r="W11" s="156"/>
      <c r="X11" s="141"/>
      <c r="Y11" s="149"/>
      <c r="Z11" s="141"/>
      <c r="AA11" s="149"/>
      <c r="AB11" s="194"/>
      <c r="AC11" s="160"/>
      <c r="AD11" s="176" t="s">
        <v>56</v>
      </c>
      <c r="AE11" s="156"/>
    </row>
    <row r="12" spans="2:31" ht="15.6" x14ac:dyDescent="0.3">
      <c r="B12" s="31" t="s">
        <v>19</v>
      </c>
      <c r="C12" s="156"/>
      <c r="D12" s="172"/>
      <c r="E12" s="163" t="s">
        <v>93</v>
      </c>
      <c r="F12" s="173"/>
      <c r="G12" s="160"/>
      <c r="H12" s="141"/>
      <c r="I12" s="160"/>
      <c r="J12" s="179"/>
      <c r="K12" s="160"/>
      <c r="L12" s="172"/>
      <c r="M12" s="160"/>
      <c r="N12" s="171"/>
      <c r="O12" s="188" t="s">
        <v>107</v>
      </c>
      <c r="P12" s="141"/>
      <c r="Q12" s="160"/>
      <c r="R12" s="171"/>
      <c r="S12" s="156"/>
      <c r="T12" s="141"/>
      <c r="U12" s="156"/>
      <c r="V12" s="141"/>
      <c r="W12" s="156"/>
      <c r="X12" s="141"/>
      <c r="Y12" s="149"/>
      <c r="Z12" s="142"/>
      <c r="AA12" s="149"/>
      <c r="AB12" s="194"/>
      <c r="AC12" s="160"/>
      <c r="AD12" s="173"/>
      <c r="AE12" s="156"/>
    </row>
    <row r="13" spans="2:31" ht="15.6" x14ac:dyDescent="0.3">
      <c r="B13" s="31" t="s">
        <v>20</v>
      </c>
      <c r="C13" s="156"/>
      <c r="D13" s="173" t="s">
        <v>94</v>
      </c>
      <c r="E13" s="160"/>
      <c r="F13" s="173"/>
      <c r="G13" s="160"/>
      <c r="H13" s="141"/>
      <c r="I13" s="160"/>
      <c r="J13" s="179"/>
      <c r="K13" s="161"/>
      <c r="L13" s="176" t="s">
        <v>103</v>
      </c>
      <c r="M13" s="160"/>
      <c r="N13" s="171"/>
      <c r="O13" s="186"/>
      <c r="P13" s="141"/>
      <c r="Q13" s="160"/>
      <c r="R13" s="171"/>
      <c r="S13" s="156"/>
      <c r="T13" s="141"/>
      <c r="U13" s="156"/>
      <c r="V13" s="141"/>
      <c r="W13" s="156"/>
      <c r="X13" s="141"/>
      <c r="Y13" s="149"/>
      <c r="Z13" s="143" t="s">
        <v>122</v>
      </c>
      <c r="AA13" s="149"/>
      <c r="AB13" s="195"/>
      <c r="AC13" s="160"/>
      <c r="AD13" s="173"/>
      <c r="AE13" s="157"/>
    </row>
    <row r="14" spans="2:31" ht="15.6" customHeight="1" x14ac:dyDescent="0.3">
      <c r="B14" s="31" t="s">
        <v>21</v>
      </c>
      <c r="C14" s="156"/>
      <c r="D14" s="173"/>
      <c r="E14" s="160"/>
      <c r="F14" s="173"/>
      <c r="G14" s="160"/>
      <c r="H14" s="141"/>
      <c r="I14" s="160"/>
      <c r="J14" s="179"/>
      <c r="K14" s="163" t="s">
        <v>102</v>
      </c>
      <c r="L14" s="173"/>
      <c r="M14" s="160"/>
      <c r="N14" s="171"/>
      <c r="O14" s="186"/>
      <c r="P14" s="141"/>
      <c r="Q14" s="160"/>
      <c r="R14" s="171"/>
      <c r="S14" s="157"/>
      <c r="T14" s="141"/>
      <c r="U14" s="157"/>
      <c r="V14" s="141"/>
      <c r="W14" s="156"/>
      <c r="X14" s="141"/>
      <c r="Y14" s="150"/>
      <c r="Z14" s="141"/>
      <c r="AA14" s="149"/>
      <c r="AB14" s="196" t="s">
        <v>68</v>
      </c>
      <c r="AC14" s="160"/>
      <c r="AD14" s="173"/>
      <c r="AE14" s="199" t="s">
        <v>60</v>
      </c>
    </row>
    <row r="15" spans="2:31" ht="15.6" customHeight="1" x14ac:dyDescent="0.3">
      <c r="B15" s="31" t="s">
        <v>22</v>
      </c>
      <c r="C15" s="156"/>
      <c r="D15" s="173"/>
      <c r="E15" s="160"/>
      <c r="F15" s="173"/>
      <c r="G15" s="160"/>
      <c r="H15" s="141"/>
      <c r="I15" s="160"/>
      <c r="J15" s="179"/>
      <c r="K15" s="160"/>
      <c r="L15" s="173"/>
      <c r="M15" s="160"/>
      <c r="N15" s="171"/>
      <c r="O15" s="186"/>
      <c r="P15" s="141"/>
      <c r="Q15" s="160"/>
      <c r="R15" s="171"/>
      <c r="S15" s="155" t="s">
        <v>113</v>
      </c>
      <c r="T15" s="141"/>
      <c r="U15" s="155" t="s">
        <v>117</v>
      </c>
      <c r="V15" s="141"/>
      <c r="W15" s="156"/>
      <c r="X15" s="141"/>
      <c r="Y15" s="155" t="s">
        <v>120</v>
      </c>
      <c r="Z15" s="141"/>
      <c r="AA15" s="149"/>
      <c r="AB15" s="197"/>
      <c r="AC15" s="160"/>
      <c r="AD15" s="173"/>
      <c r="AE15" s="200"/>
    </row>
    <row r="16" spans="2:31" ht="15.6" customHeight="1" x14ac:dyDescent="0.3">
      <c r="B16" s="31" t="s">
        <v>23</v>
      </c>
      <c r="C16" s="156"/>
      <c r="D16" s="173"/>
      <c r="E16" s="160"/>
      <c r="F16" s="173"/>
      <c r="G16" s="160"/>
      <c r="H16" s="141"/>
      <c r="I16" s="160"/>
      <c r="J16" s="179"/>
      <c r="K16" s="160"/>
      <c r="L16" s="173"/>
      <c r="M16" s="160"/>
      <c r="N16" s="171"/>
      <c r="O16" s="186"/>
      <c r="P16" s="141"/>
      <c r="Q16" s="160"/>
      <c r="R16" s="171"/>
      <c r="S16" s="156"/>
      <c r="T16" s="141"/>
      <c r="U16" s="156"/>
      <c r="V16" s="141"/>
      <c r="W16" s="156"/>
      <c r="X16" s="141"/>
      <c r="Y16" s="156"/>
      <c r="Z16" s="141"/>
      <c r="AA16" s="149"/>
      <c r="AB16" s="198"/>
      <c r="AC16" s="161"/>
      <c r="AD16" s="173"/>
      <c r="AE16" s="200"/>
    </row>
    <row r="17" spans="2:31" ht="15.6" customHeight="1" x14ac:dyDescent="0.3">
      <c r="B17" s="31" t="s">
        <v>24</v>
      </c>
      <c r="C17" s="156"/>
      <c r="D17" s="173"/>
      <c r="E17" s="160"/>
      <c r="F17" s="173"/>
      <c r="G17" s="160"/>
      <c r="H17" s="141"/>
      <c r="I17" s="160"/>
      <c r="J17" s="179"/>
      <c r="K17" s="160"/>
      <c r="L17" s="173"/>
      <c r="M17" s="160"/>
      <c r="N17" s="171"/>
      <c r="O17" s="186"/>
      <c r="P17" s="141"/>
      <c r="Q17" s="160"/>
      <c r="R17" s="171"/>
      <c r="S17" s="156"/>
      <c r="T17" s="141"/>
      <c r="U17" s="156"/>
      <c r="V17" s="141"/>
      <c r="W17" s="156"/>
      <c r="X17" s="141"/>
      <c r="Y17" s="156"/>
      <c r="Z17" s="141"/>
      <c r="AA17" s="149"/>
      <c r="AB17" s="152" t="s">
        <v>55</v>
      </c>
      <c r="AC17" s="163" t="s">
        <v>6</v>
      </c>
      <c r="AD17" s="173"/>
      <c r="AE17" s="200"/>
    </row>
    <row r="18" spans="2:31" ht="15.6" customHeight="1" x14ac:dyDescent="0.3">
      <c r="B18" s="31" t="s">
        <v>25</v>
      </c>
      <c r="C18" s="156"/>
      <c r="D18" s="173"/>
      <c r="E18" s="160"/>
      <c r="F18" s="173"/>
      <c r="G18" s="160"/>
      <c r="H18" s="142"/>
      <c r="I18" s="160"/>
      <c r="J18" s="179"/>
      <c r="K18" s="160"/>
      <c r="L18" s="174"/>
      <c r="M18" s="161"/>
      <c r="N18" s="171"/>
      <c r="O18" s="186"/>
      <c r="P18" s="141"/>
      <c r="Q18" s="160"/>
      <c r="R18" s="171"/>
      <c r="S18" s="157"/>
      <c r="T18" s="141"/>
      <c r="U18" s="156"/>
      <c r="V18" s="141"/>
      <c r="W18" s="156"/>
      <c r="X18" s="141"/>
      <c r="Y18" s="156"/>
      <c r="Z18" s="141"/>
      <c r="AA18" s="149"/>
      <c r="AB18" s="153"/>
      <c r="AC18" s="160"/>
      <c r="AD18" s="173"/>
      <c r="AE18" s="200"/>
    </row>
    <row r="19" spans="2:31" ht="15.6" customHeight="1" x14ac:dyDescent="0.3">
      <c r="B19" s="31" t="s">
        <v>26</v>
      </c>
      <c r="C19" s="156"/>
      <c r="D19" s="173"/>
      <c r="E19" s="160"/>
      <c r="F19" s="173"/>
      <c r="G19" s="160"/>
      <c r="H19" s="141" t="s">
        <v>97</v>
      </c>
      <c r="I19" s="160"/>
      <c r="J19" s="179"/>
      <c r="K19" s="160"/>
      <c r="L19" s="176" t="s">
        <v>104</v>
      </c>
      <c r="M19" s="163" t="s">
        <v>64</v>
      </c>
      <c r="N19" s="171"/>
      <c r="O19" s="186"/>
      <c r="P19" s="141"/>
      <c r="Q19" s="160"/>
      <c r="R19" s="171"/>
      <c r="S19" s="155" t="s">
        <v>112</v>
      </c>
      <c r="T19" s="141"/>
      <c r="U19" s="156"/>
      <c r="V19" s="141"/>
      <c r="W19" s="156"/>
      <c r="X19" s="141"/>
      <c r="Y19" s="156"/>
      <c r="Z19" s="141"/>
      <c r="AA19" s="149"/>
      <c r="AB19" s="153"/>
      <c r="AC19" s="160"/>
      <c r="AD19" s="173"/>
      <c r="AE19" s="200"/>
    </row>
    <row r="20" spans="2:31" ht="15.6" customHeight="1" x14ac:dyDescent="0.3">
      <c r="B20" s="31" t="s">
        <v>27</v>
      </c>
      <c r="C20" s="157"/>
      <c r="D20" s="173"/>
      <c r="E20" s="160"/>
      <c r="F20" s="173"/>
      <c r="G20" s="160"/>
      <c r="H20" s="141"/>
      <c r="I20" s="161"/>
      <c r="J20" s="180"/>
      <c r="K20" s="160"/>
      <c r="L20" s="173"/>
      <c r="M20" s="160"/>
      <c r="N20" s="172"/>
      <c r="O20" s="186"/>
      <c r="P20" s="141"/>
      <c r="Q20" s="160"/>
      <c r="R20" s="172"/>
      <c r="S20" s="156"/>
      <c r="T20" s="142"/>
      <c r="U20" s="156"/>
      <c r="V20" s="141"/>
      <c r="W20" s="156"/>
      <c r="X20" s="142"/>
      <c r="Y20" s="156"/>
      <c r="Z20" s="141"/>
      <c r="AA20" s="149"/>
      <c r="AB20" s="153"/>
      <c r="AC20" s="160"/>
      <c r="AD20" s="173"/>
      <c r="AE20" s="200"/>
    </row>
    <row r="21" spans="2:31" ht="15.6" customHeight="1" x14ac:dyDescent="0.3">
      <c r="B21" s="31" t="s">
        <v>28</v>
      </c>
      <c r="C21" s="39" t="s">
        <v>58</v>
      </c>
      <c r="D21" s="173"/>
      <c r="E21" s="160"/>
      <c r="F21" s="173"/>
      <c r="G21" s="160"/>
      <c r="H21" s="141"/>
      <c r="I21" s="163" t="s">
        <v>98</v>
      </c>
      <c r="J21" s="141" t="str">
        <f>J3</f>
        <v>HOME BACKPECKERS HOSTEL</v>
      </c>
      <c r="K21" s="160"/>
      <c r="L21" s="173"/>
      <c r="M21" s="160"/>
      <c r="N21" s="171" t="str">
        <f>N3</f>
        <v>HOTEL CASA ARENA</v>
      </c>
      <c r="O21" s="186"/>
      <c r="P21" s="141"/>
      <c r="Q21" s="160"/>
      <c r="R21" s="190" t="str">
        <f>P3</f>
        <v>HOTEL AFEQUIPA</v>
      </c>
      <c r="S21" s="157"/>
      <c r="T21" s="143" t="str">
        <f>T3</f>
        <v>HOTEL EM PUNO</v>
      </c>
      <c r="U21" s="156"/>
      <c r="V21" s="141"/>
      <c r="W21" s="157"/>
      <c r="X21" s="143" t="str">
        <f>X3</f>
        <v>HOSTEL ÁGUAS CALIENTES</v>
      </c>
      <c r="Y21" s="156"/>
      <c r="Z21" s="142"/>
      <c r="AA21" s="150"/>
      <c r="AB21" s="153"/>
      <c r="AC21" s="161"/>
      <c r="AD21" s="173"/>
      <c r="AE21" s="200"/>
    </row>
    <row r="22" spans="2:31" ht="15.6" customHeight="1" x14ac:dyDescent="0.3">
      <c r="B22" s="31" t="s">
        <v>29</v>
      </c>
      <c r="C22" s="165" t="s">
        <v>34</v>
      </c>
      <c r="D22" s="173"/>
      <c r="E22" s="160"/>
      <c r="F22" s="173"/>
      <c r="G22" s="160"/>
      <c r="H22" s="141"/>
      <c r="I22" s="160"/>
      <c r="J22" s="179"/>
      <c r="K22" s="160"/>
      <c r="L22" s="173"/>
      <c r="M22" s="161"/>
      <c r="N22" s="174"/>
      <c r="O22" s="187"/>
      <c r="P22" s="141"/>
      <c r="Q22" s="160"/>
      <c r="R22" s="171"/>
      <c r="S22" s="148" t="str">
        <f>S7</f>
        <v>HOTEL EM PUNO</v>
      </c>
      <c r="T22" s="141"/>
      <c r="U22" s="157"/>
      <c r="V22" s="142"/>
      <c r="W22" s="148" t="s">
        <v>54</v>
      </c>
      <c r="X22" s="141"/>
      <c r="Y22" s="156"/>
      <c r="Z22" s="143" t="str">
        <f>Z3</f>
        <v>HOTEL EL IMPERIO</v>
      </c>
      <c r="AA22" s="191" t="str">
        <f>AA3</f>
        <v>HOTEL EL IMPERIO</v>
      </c>
      <c r="AB22" s="153"/>
      <c r="AC22" s="163" t="s">
        <v>123</v>
      </c>
      <c r="AD22" s="174"/>
      <c r="AE22" s="200"/>
    </row>
    <row r="23" spans="2:31" ht="15.6" customHeight="1" x14ac:dyDescent="0.3">
      <c r="B23" s="31" t="s">
        <v>30</v>
      </c>
      <c r="C23" s="165"/>
      <c r="D23" s="173"/>
      <c r="E23" s="161"/>
      <c r="F23" s="173"/>
      <c r="G23" s="161"/>
      <c r="H23" s="141"/>
      <c r="I23" s="160"/>
      <c r="J23" s="179"/>
      <c r="K23" s="160"/>
      <c r="L23" s="173"/>
      <c r="M23" s="163" t="str">
        <f>M3</f>
        <v>HOTEL CASA ARENA</v>
      </c>
      <c r="N23" s="166" t="s">
        <v>106</v>
      </c>
      <c r="O23" s="186" t="s">
        <v>108</v>
      </c>
      <c r="P23" s="141"/>
      <c r="Q23" s="160"/>
      <c r="R23" s="172"/>
      <c r="S23" s="149"/>
      <c r="T23" s="141"/>
      <c r="U23" s="155" t="str">
        <f>U9</f>
        <v>HOTEL INKAS GARDEN</v>
      </c>
      <c r="V23" s="152" t="str">
        <f>V3</f>
        <v>HOTEL INKAS GARDEN</v>
      </c>
      <c r="W23" s="149"/>
      <c r="X23" s="141"/>
      <c r="Y23" s="156"/>
      <c r="Z23" s="141"/>
      <c r="AA23" s="146"/>
      <c r="AB23" s="153"/>
      <c r="AC23" s="160"/>
      <c r="AD23" s="176" t="s">
        <v>124</v>
      </c>
      <c r="AE23" s="200"/>
    </row>
    <row r="24" spans="2:31" ht="15.6" customHeight="1" x14ac:dyDescent="0.3">
      <c r="B24" s="31" t="s">
        <v>31</v>
      </c>
      <c r="C24" s="165"/>
      <c r="D24" s="174"/>
      <c r="E24" s="163" t="s">
        <v>92</v>
      </c>
      <c r="F24" s="174"/>
      <c r="G24" s="160" t="s">
        <v>95</v>
      </c>
      <c r="H24" s="141"/>
      <c r="I24" s="160"/>
      <c r="J24" s="179"/>
      <c r="K24" s="160"/>
      <c r="L24" s="173"/>
      <c r="M24" s="160"/>
      <c r="N24" s="167"/>
      <c r="O24" s="186"/>
      <c r="P24" s="141"/>
      <c r="Q24" s="160"/>
      <c r="R24" s="173" t="s">
        <v>110</v>
      </c>
      <c r="S24" s="149"/>
      <c r="T24" s="142"/>
      <c r="U24" s="156"/>
      <c r="V24" s="153"/>
      <c r="W24" s="149"/>
      <c r="X24" s="141"/>
      <c r="Y24" s="156"/>
      <c r="Z24" s="141"/>
      <c r="AA24" s="146"/>
      <c r="AB24" s="153"/>
      <c r="AC24" s="160"/>
      <c r="AD24" s="173"/>
      <c r="AE24" s="200"/>
    </row>
    <row r="25" spans="2:31" ht="15.6" customHeight="1" x14ac:dyDescent="0.3">
      <c r="B25" s="31" t="s">
        <v>32</v>
      </c>
      <c r="C25" s="165"/>
      <c r="D25" s="166" t="s">
        <v>53</v>
      </c>
      <c r="E25" s="160"/>
      <c r="F25" s="175" t="str">
        <f>F3</f>
        <v>ALPAMAYO HOTE</v>
      </c>
      <c r="G25" s="160"/>
      <c r="H25" s="141"/>
      <c r="I25" s="160"/>
      <c r="J25" s="179"/>
      <c r="K25" s="160"/>
      <c r="L25" s="173"/>
      <c r="M25" s="160"/>
      <c r="N25" s="167"/>
      <c r="O25" s="186"/>
      <c r="P25" s="141"/>
      <c r="Q25" s="160"/>
      <c r="R25" s="173"/>
      <c r="S25" s="149"/>
      <c r="T25" s="141" t="s">
        <v>115</v>
      </c>
      <c r="U25" s="156"/>
      <c r="V25" s="153"/>
      <c r="W25" s="149"/>
      <c r="X25" s="141"/>
      <c r="Y25" s="157"/>
      <c r="Z25" s="141"/>
      <c r="AA25" s="146"/>
      <c r="AB25" s="153"/>
      <c r="AC25" s="160"/>
      <c r="AD25" s="173"/>
      <c r="AE25" s="200"/>
    </row>
    <row r="26" spans="2:31" ht="16.2" customHeight="1" thickBot="1" x14ac:dyDescent="0.35">
      <c r="B26" s="45" t="s">
        <v>33</v>
      </c>
      <c r="C26" s="38" t="s">
        <v>9</v>
      </c>
      <c r="D26" s="167"/>
      <c r="E26" s="160"/>
      <c r="F26" s="167"/>
      <c r="G26" s="164"/>
      <c r="H26" s="144"/>
      <c r="I26" s="164"/>
      <c r="J26" s="181"/>
      <c r="K26" s="164"/>
      <c r="L26" s="177"/>
      <c r="M26" s="164"/>
      <c r="N26" s="167"/>
      <c r="O26" s="189"/>
      <c r="P26" s="144"/>
      <c r="Q26" s="164"/>
      <c r="R26" s="177"/>
      <c r="S26" s="151"/>
      <c r="T26" s="144"/>
      <c r="U26" s="162"/>
      <c r="V26" s="153"/>
      <c r="W26" s="151"/>
      <c r="X26" s="144"/>
      <c r="Y26" s="96" t="s">
        <v>121</v>
      </c>
      <c r="Z26" s="144"/>
      <c r="AA26" s="192"/>
      <c r="AB26" s="153"/>
      <c r="AC26" s="160"/>
      <c r="AD26" s="177"/>
      <c r="AE26" s="201"/>
    </row>
    <row r="27" spans="2:31" s="57" customFormat="1" ht="21.6" thickBot="1" x14ac:dyDescent="0.35">
      <c r="B27" s="60" t="s">
        <v>45</v>
      </c>
      <c r="C27" s="61">
        <f>GASTOS!E3</f>
        <v>1082.5249999999999</v>
      </c>
      <c r="D27" s="62">
        <f>GASTOS!F3</f>
        <v>336.94900000000001</v>
      </c>
      <c r="E27" s="61">
        <f>GASTOS!G3</f>
        <v>240.5</v>
      </c>
      <c r="F27" s="62">
        <f>GASTOS!H3</f>
        <v>111</v>
      </c>
      <c r="G27" s="61">
        <f>GASTOS!I3</f>
        <v>46</v>
      </c>
      <c r="H27" s="61">
        <f>GASTOS!J3</f>
        <v>46.199999999999996</v>
      </c>
      <c r="I27" s="61">
        <f>GASTOS!K3</f>
        <v>259</v>
      </c>
      <c r="J27" s="62">
        <f>GASTOS!L3</f>
        <v>73</v>
      </c>
      <c r="K27" s="61">
        <f>GASTOS!M3</f>
        <v>10</v>
      </c>
      <c r="L27" s="62">
        <f>GASTOS!N3</f>
        <v>134</v>
      </c>
      <c r="M27" s="61">
        <f>GASTOS!O3</f>
        <v>103</v>
      </c>
      <c r="N27" s="62">
        <f>GASTOS!P3</f>
        <v>140.5</v>
      </c>
      <c r="O27" s="61">
        <f>GASTOS!Q3</f>
        <v>230.5</v>
      </c>
      <c r="P27" s="62">
        <f>GASTOS!R3</f>
        <v>40</v>
      </c>
      <c r="Q27" s="61">
        <f>GASTOS!S3</f>
        <v>9</v>
      </c>
      <c r="R27" s="62">
        <f>GASTOS!T3</f>
        <v>48</v>
      </c>
      <c r="S27" s="63">
        <f>GASTOS!U3</f>
        <v>170</v>
      </c>
      <c r="T27" s="62">
        <f>GASTOS!V3</f>
        <v>82</v>
      </c>
      <c r="U27" s="63">
        <f>GASTOS!W3</f>
        <v>721.5</v>
      </c>
      <c r="V27" s="62">
        <f>GASTOS!X3</f>
        <v>154.5</v>
      </c>
      <c r="W27" s="63">
        <f>GASTOS!Y3</f>
        <v>83.5</v>
      </c>
      <c r="X27" s="62">
        <f>GASTOS!Z3</f>
        <v>94.5</v>
      </c>
      <c r="Y27" s="63">
        <f>GASTOS!AA3</f>
        <v>35</v>
      </c>
      <c r="Z27" s="62">
        <f>GASTOS!AB3</f>
        <v>130</v>
      </c>
      <c r="AA27" s="63">
        <f>GASTOS!AC3</f>
        <v>58</v>
      </c>
      <c r="AB27" s="62">
        <f>GASTOS!AD3</f>
        <v>57.5</v>
      </c>
      <c r="AC27" s="61">
        <f>GASTOS!AE3</f>
        <v>203.54999999999998</v>
      </c>
      <c r="AD27" s="62">
        <f>GASTOS!AF3</f>
        <v>1121.7749999999999</v>
      </c>
      <c r="AE27" s="61">
        <f>GASTOS!AG3</f>
        <v>0</v>
      </c>
    </row>
    <row r="29" spans="2:31" x14ac:dyDescent="0.3">
      <c r="B29" s="94"/>
      <c r="C29" s="95"/>
      <c r="D29" s="94"/>
    </row>
    <row r="30" spans="2:31" x14ac:dyDescent="0.3">
      <c r="B30" s="94"/>
      <c r="C30" s="95"/>
      <c r="D30" s="94"/>
    </row>
    <row r="31" spans="2:31" x14ac:dyDescent="0.3">
      <c r="B31" s="94"/>
      <c r="C31" s="94"/>
      <c r="D31" s="94"/>
    </row>
  </sheetData>
  <mergeCells count="88">
    <mergeCell ref="AE3:AE9"/>
    <mergeCell ref="AA22:AA26"/>
    <mergeCell ref="AB3:AB13"/>
    <mergeCell ref="AB14:AB16"/>
    <mergeCell ref="AD11:AD22"/>
    <mergeCell ref="AD23:AD26"/>
    <mergeCell ref="AC17:AC21"/>
    <mergeCell ref="AC22:AC26"/>
    <mergeCell ref="AE14:AE26"/>
    <mergeCell ref="X3:X7"/>
    <mergeCell ref="X8:X20"/>
    <mergeCell ref="X21:X26"/>
    <mergeCell ref="Y3:Y14"/>
    <mergeCell ref="Y15:Y25"/>
    <mergeCell ref="P7:P26"/>
    <mergeCell ref="Q3:Q26"/>
    <mergeCell ref="R3:R20"/>
    <mergeCell ref="R24:R26"/>
    <mergeCell ref="R21:R23"/>
    <mergeCell ref="N21:N22"/>
    <mergeCell ref="AE10:AE13"/>
    <mergeCell ref="AB17:AB26"/>
    <mergeCell ref="AC3:AC16"/>
    <mergeCell ref="AD3:AD9"/>
    <mergeCell ref="O3:O11"/>
    <mergeCell ref="P3:P6"/>
    <mergeCell ref="O12:O22"/>
    <mergeCell ref="O23:O26"/>
    <mergeCell ref="N23:N26"/>
    <mergeCell ref="N3:N9"/>
    <mergeCell ref="N10:N20"/>
    <mergeCell ref="S3:S6"/>
    <mergeCell ref="S7:S14"/>
    <mergeCell ref="S15:S18"/>
    <mergeCell ref="S19:S21"/>
    <mergeCell ref="J3:J10"/>
    <mergeCell ref="J11:J20"/>
    <mergeCell ref="J21:J26"/>
    <mergeCell ref="K3:K13"/>
    <mergeCell ref="K14:K26"/>
    <mergeCell ref="L3:L12"/>
    <mergeCell ref="L13:L18"/>
    <mergeCell ref="L19:L26"/>
    <mergeCell ref="M19:M22"/>
    <mergeCell ref="M3:M18"/>
    <mergeCell ref="M23:M26"/>
    <mergeCell ref="F3:F8"/>
    <mergeCell ref="F9:F24"/>
    <mergeCell ref="G24:G26"/>
    <mergeCell ref="G9:G23"/>
    <mergeCell ref="H19:H26"/>
    <mergeCell ref="H8:H18"/>
    <mergeCell ref="I3:I10"/>
    <mergeCell ref="I11:I20"/>
    <mergeCell ref="I21:I26"/>
    <mergeCell ref="C6:C9"/>
    <mergeCell ref="C22:C25"/>
    <mergeCell ref="D25:D26"/>
    <mergeCell ref="E3:E11"/>
    <mergeCell ref="C3:C4"/>
    <mergeCell ref="E12:E23"/>
    <mergeCell ref="E24:E26"/>
    <mergeCell ref="C10:C20"/>
    <mergeCell ref="D3:D12"/>
    <mergeCell ref="D13:D24"/>
    <mergeCell ref="F25:F26"/>
    <mergeCell ref="G3:G8"/>
    <mergeCell ref="H3:H7"/>
    <mergeCell ref="S22:S26"/>
    <mergeCell ref="V23:V26"/>
    <mergeCell ref="V3:V9"/>
    <mergeCell ref="V10:V22"/>
    <mergeCell ref="W3:W9"/>
    <mergeCell ref="W10:W21"/>
    <mergeCell ref="W22:W26"/>
    <mergeCell ref="T3:T9"/>
    <mergeCell ref="T10:T20"/>
    <mergeCell ref="T25:T26"/>
    <mergeCell ref="T21:T24"/>
    <mergeCell ref="U3:U8"/>
    <mergeCell ref="U9:U14"/>
    <mergeCell ref="U15:U22"/>
    <mergeCell ref="U23:U26"/>
    <mergeCell ref="Z3:Z12"/>
    <mergeCell ref="Z13:Z21"/>
    <mergeCell ref="Z22:Z26"/>
    <mergeCell ref="AA3:AA6"/>
    <mergeCell ref="AA7:AA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9"/>
  <sheetViews>
    <sheetView showGridLines="0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D9" sqref="D9"/>
    </sheetView>
  </sheetViews>
  <sheetFormatPr defaultRowHeight="14.4" x14ac:dyDescent="0.3"/>
  <cols>
    <col min="1" max="1" width="2.88671875" customWidth="1"/>
    <col min="2" max="2" width="17.33203125" bestFit="1" customWidth="1"/>
    <col min="3" max="3" width="12.88671875" bestFit="1" customWidth="1"/>
    <col min="4" max="4" width="18.6640625" bestFit="1" customWidth="1"/>
    <col min="5" max="5" width="15.5546875" bestFit="1" customWidth="1"/>
    <col min="6" max="6" width="14.21875" bestFit="1" customWidth="1"/>
    <col min="7" max="7" width="15.21875" bestFit="1" customWidth="1"/>
    <col min="8" max="8" width="14.109375" bestFit="1" customWidth="1"/>
    <col min="9" max="9" width="13.6640625" bestFit="1" customWidth="1"/>
    <col min="10" max="10" width="14.5546875" bestFit="1" customWidth="1"/>
    <col min="11" max="11" width="14" bestFit="1" customWidth="1"/>
    <col min="12" max="12" width="13.77734375" bestFit="1" customWidth="1"/>
    <col min="13" max="13" width="13.88671875" bestFit="1" customWidth="1"/>
    <col min="14" max="14" width="15.21875" bestFit="1" customWidth="1"/>
    <col min="15" max="15" width="13.77734375" bestFit="1" customWidth="1"/>
    <col min="16" max="16" width="13.44140625" bestFit="1" customWidth="1"/>
    <col min="17" max="17" width="14.5546875" bestFit="1" customWidth="1"/>
    <col min="18" max="18" width="14" bestFit="1" customWidth="1"/>
    <col min="19" max="19" width="13.77734375" bestFit="1" customWidth="1"/>
    <col min="20" max="20" width="13.88671875" bestFit="1" customWidth="1"/>
    <col min="21" max="21" width="15.21875" bestFit="1" customWidth="1"/>
    <col min="22" max="22" width="13.77734375" bestFit="1" customWidth="1"/>
    <col min="23" max="23" width="13.44140625" bestFit="1" customWidth="1"/>
    <col min="24" max="24" width="14.5546875" bestFit="1" customWidth="1"/>
    <col min="25" max="25" width="14" bestFit="1" customWidth="1"/>
    <col min="26" max="26" width="13.77734375" bestFit="1" customWidth="1"/>
    <col min="27" max="27" width="13.88671875" bestFit="1" customWidth="1"/>
    <col min="28" max="28" width="15.21875" bestFit="1" customWidth="1"/>
    <col min="29" max="29" width="13.77734375" bestFit="1" customWidth="1"/>
    <col min="30" max="30" width="13.44140625" bestFit="1" customWidth="1"/>
    <col min="31" max="31" width="14.5546875" bestFit="1" customWidth="1"/>
    <col min="32" max="33" width="14" bestFit="1" customWidth="1"/>
    <col min="40" max="40" width="24.5546875" bestFit="1" customWidth="1"/>
    <col min="55" max="55" width="24.5546875" bestFit="1" customWidth="1"/>
  </cols>
  <sheetData>
    <row r="1" spans="2:55" ht="15" customHeight="1" thickBot="1" x14ac:dyDescent="0.35">
      <c r="J1" s="101"/>
    </row>
    <row r="2" spans="2:55" s="10" customFormat="1" ht="21.6" thickBot="1" x14ac:dyDescent="0.35">
      <c r="B2" s="204" t="s">
        <v>127</v>
      </c>
      <c r="C2" s="205"/>
      <c r="D2" s="206"/>
      <c r="E2" s="22">
        <v>42545</v>
      </c>
      <c r="F2" s="23">
        <v>42546</v>
      </c>
      <c r="G2" s="23">
        <v>42547</v>
      </c>
      <c r="H2" s="23">
        <v>42548</v>
      </c>
      <c r="I2" s="23">
        <v>42549</v>
      </c>
      <c r="J2" s="23">
        <v>42550</v>
      </c>
      <c r="K2" s="23">
        <v>42551</v>
      </c>
      <c r="L2" s="23">
        <v>42552</v>
      </c>
      <c r="M2" s="23">
        <v>42553</v>
      </c>
      <c r="N2" s="23">
        <v>42554</v>
      </c>
      <c r="O2" s="23">
        <v>42555</v>
      </c>
      <c r="P2" s="23">
        <v>42556</v>
      </c>
      <c r="Q2" s="23">
        <v>42557</v>
      </c>
      <c r="R2" s="23">
        <v>42558</v>
      </c>
      <c r="S2" s="23">
        <v>42559</v>
      </c>
      <c r="T2" s="23">
        <v>42560</v>
      </c>
      <c r="U2" s="23">
        <v>42561</v>
      </c>
      <c r="V2" s="23">
        <v>42562</v>
      </c>
      <c r="W2" s="23">
        <v>42563</v>
      </c>
      <c r="X2" s="23">
        <v>42564</v>
      </c>
      <c r="Y2" s="23">
        <v>42565</v>
      </c>
      <c r="Z2" s="23">
        <v>42566</v>
      </c>
      <c r="AA2" s="23">
        <v>42567</v>
      </c>
      <c r="AB2" s="23">
        <v>42568</v>
      </c>
      <c r="AC2" s="23">
        <v>42569</v>
      </c>
      <c r="AD2" s="23">
        <v>42570</v>
      </c>
      <c r="AE2" s="23">
        <v>42571</v>
      </c>
      <c r="AF2" s="46">
        <v>42572</v>
      </c>
      <c r="AG2" s="52">
        <v>42573</v>
      </c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2:55" s="4" customFormat="1" ht="21.6" thickBot="1" x14ac:dyDescent="0.35">
      <c r="B3" s="207" t="s">
        <v>126</v>
      </c>
      <c r="C3" s="208"/>
      <c r="D3" s="113">
        <f>(D4+D9+D14+D18+D23)/0.95</f>
        <v>6128.4199999999992</v>
      </c>
      <c r="E3" s="19">
        <f t="shared" ref="E3:AG3" si="0">E4+E9+E14+E18+E23</f>
        <v>1082.5249999999999</v>
      </c>
      <c r="F3" s="20">
        <f t="shared" si="0"/>
        <v>336.94900000000001</v>
      </c>
      <c r="G3" s="21">
        <f t="shared" si="0"/>
        <v>240.5</v>
      </c>
      <c r="H3" s="20">
        <f t="shared" si="0"/>
        <v>111</v>
      </c>
      <c r="I3" s="21">
        <f t="shared" si="0"/>
        <v>46</v>
      </c>
      <c r="J3" s="20">
        <f t="shared" si="0"/>
        <v>46.199999999999996</v>
      </c>
      <c r="K3" s="21">
        <f t="shared" si="0"/>
        <v>259</v>
      </c>
      <c r="L3" s="20">
        <f t="shared" si="0"/>
        <v>73</v>
      </c>
      <c r="M3" s="21">
        <f t="shared" si="0"/>
        <v>10</v>
      </c>
      <c r="N3" s="20">
        <f t="shared" si="0"/>
        <v>134</v>
      </c>
      <c r="O3" s="21">
        <f t="shared" si="0"/>
        <v>103</v>
      </c>
      <c r="P3" s="20">
        <f t="shared" si="0"/>
        <v>140.5</v>
      </c>
      <c r="Q3" s="21">
        <f t="shared" si="0"/>
        <v>230.5</v>
      </c>
      <c r="R3" s="20">
        <f t="shared" si="0"/>
        <v>40</v>
      </c>
      <c r="S3" s="21">
        <f t="shared" si="0"/>
        <v>9</v>
      </c>
      <c r="T3" s="20">
        <f t="shared" si="0"/>
        <v>48</v>
      </c>
      <c r="U3" s="21">
        <f t="shared" si="0"/>
        <v>170</v>
      </c>
      <c r="V3" s="20">
        <f t="shared" si="0"/>
        <v>82</v>
      </c>
      <c r="W3" s="21">
        <f t="shared" si="0"/>
        <v>721.5</v>
      </c>
      <c r="X3" s="20">
        <f t="shared" si="0"/>
        <v>154.5</v>
      </c>
      <c r="Y3" s="21">
        <f t="shared" si="0"/>
        <v>83.5</v>
      </c>
      <c r="Z3" s="20">
        <f t="shared" si="0"/>
        <v>94.5</v>
      </c>
      <c r="AA3" s="21">
        <f t="shared" si="0"/>
        <v>35</v>
      </c>
      <c r="AB3" s="20">
        <f t="shared" si="0"/>
        <v>130</v>
      </c>
      <c r="AC3" s="21">
        <f t="shared" si="0"/>
        <v>58</v>
      </c>
      <c r="AD3" s="20">
        <f t="shared" si="0"/>
        <v>57.5</v>
      </c>
      <c r="AE3" s="21">
        <f t="shared" si="0"/>
        <v>203.54999999999998</v>
      </c>
      <c r="AF3" s="47">
        <f t="shared" si="0"/>
        <v>1121.7749999999999</v>
      </c>
      <c r="AG3" s="53">
        <f t="shared" si="0"/>
        <v>0</v>
      </c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2:55" x14ac:dyDescent="0.3">
      <c r="B4" s="17" t="s">
        <v>1</v>
      </c>
      <c r="C4" s="17" t="s">
        <v>70</v>
      </c>
      <c r="D4" s="18">
        <f>SUM(D5:D8)</f>
        <v>2927.9009999999998</v>
      </c>
      <c r="E4" s="24">
        <f>SUM(E5:E8)</f>
        <v>1082.5249999999999</v>
      </c>
      <c r="F4" s="25">
        <f>SUM(F5:F8)</f>
        <v>84.950999999999993</v>
      </c>
      <c r="G4" s="25">
        <f t="shared" ref="G4:AG4" si="1">SUM(G5:G8)</f>
        <v>100</v>
      </c>
      <c r="H4" s="25">
        <f t="shared" si="1"/>
        <v>8</v>
      </c>
      <c r="I4" s="25">
        <f t="shared" si="1"/>
        <v>0</v>
      </c>
      <c r="J4" s="25">
        <f t="shared" si="1"/>
        <v>10.4</v>
      </c>
      <c r="K4" s="25">
        <f t="shared" si="1"/>
        <v>130</v>
      </c>
      <c r="L4" s="25">
        <f t="shared" si="1"/>
        <v>0</v>
      </c>
      <c r="M4" s="25">
        <f t="shared" si="1"/>
        <v>0</v>
      </c>
      <c r="N4" s="25">
        <f t="shared" si="1"/>
        <v>40</v>
      </c>
      <c r="O4" s="25">
        <f t="shared" si="1"/>
        <v>0</v>
      </c>
      <c r="P4" s="25">
        <f t="shared" si="1"/>
        <v>83</v>
      </c>
      <c r="Q4" s="25">
        <f t="shared" si="1"/>
        <v>32.5</v>
      </c>
      <c r="R4" s="25">
        <f t="shared" si="1"/>
        <v>0</v>
      </c>
      <c r="S4" s="25">
        <f t="shared" si="1"/>
        <v>0</v>
      </c>
      <c r="T4" s="25">
        <f t="shared" si="1"/>
        <v>0</v>
      </c>
      <c r="U4" s="25">
        <f t="shared" si="1"/>
        <v>62</v>
      </c>
      <c r="V4" s="25">
        <f t="shared" si="1"/>
        <v>3.5</v>
      </c>
      <c r="W4" s="25">
        <f t="shared" si="1"/>
        <v>185</v>
      </c>
      <c r="X4" s="25">
        <f t="shared" si="1"/>
        <v>0</v>
      </c>
      <c r="Y4" s="25">
        <f t="shared" si="1"/>
        <v>0</v>
      </c>
      <c r="Z4" s="25">
        <f t="shared" si="1"/>
        <v>0</v>
      </c>
      <c r="AA4" s="25">
        <f t="shared" si="1"/>
        <v>5</v>
      </c>
      <c r="AB4" s="25">
        <f t="shared" si="1"/>
        <v>0</v>
      </c>
      <c r="AC4" s="25">
        <f t="shared" si="1"/>
        <v>0</v>
      </c>
      <c r="AD4" s="25">
        <f t="shared" si="1"/>
        <v>0</v>
      </c>
      <c r="AE4" s="25">
        <f t="shared" si="1"/>
        <v>7.5</v>
      </c>
      <c r="AF4" s="48">
        <f t="shared" si="1"/>
        <v>1093.5249999999999</v>
      </c>
      <c r="AG4" s="28">
        <f t="shared" si="1"/>
        <v>0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2:55" x14ac:dyDescent="0.3">
      <c r="B5" s="11" t="s">
        <v>8</v>
      </c>
      <c r="C5" s="56">
        <f>D5/28</f>
        <v>2.2142857142857144</v>
      </c>
      <c r="D5" s="15">
        <f t="shared" ref="D5:D8" si="2">SUM(E5:AG5)</f>
        <v>62</v>
      </c>
      <c r="E5" s="26"/>
      <c r="F5" s="6">
        <v>15</v>
      </c>
      <c r="G5" s="7"/>
      <c r="H5" s="6"/>
      <c r="I5" s="7"/>
      <c r="J5" s="6">
        <f>3+6</f>
        <v>9</v>
      </c>
      <c r="K5" s="7"/>
      <c r="L5" s="6"/>
      <c r="M5" s="7"/>
      <c r="N5" s="6">
        <f>5</f>
        <v>5</v>
      </c>
      <c r="O5" s="7"/>
      <c r="P5" s="6">
        <v>3</v>
      </c>
      <c r="Q5" s="7">
        <v>2.5</v>
      </c>
      <c r="R5" s="6"/>
      <c r="S5" s="7"/>
      <c r="T5" s="6"/>
      <c r="U5" s="7">
        <v>2</v>
      </c>
      <c r="V5" s="6">
        <v>2</v>
      </c>
      <c r="W5" s="7"/>
      <c r="X5" s="6"/>
      <c r="Y5" s="7"/>
      <c r="Z5" s="6"/>
      <c r="AA5" s="7">
        <v>5</v>
      </c>
      <c r="AB5" s="6"/>
      <c r="AC5" s="7"/>
      <c r="AD5" s="6"/>
      <c r="AE5" s="7">
        <v>7.5</v>
      </c>
      <c r="AF5" s="49">
        <v>11</v>
      </c>
      <c r="AG5" s="54"/>
    </row>
    <row r="6" spans="2:55" x14ac:dyDescent="0.3">
      <c r="B6" s="11" t="s">
        <v>37</v>
      </c>
      <c r="C6" s="42">
        <f t="shared" ref="C6:C27" si="3">D6/28</f>
        <v>0</v>
      </c>
      <c r="D6" s="15">
        <f t="shared" si="2"/>
        <v>0</v>
      </c>
      <c r="E6" s="26"/>
      <c r="F6" s="6"/>
      <c r="G6" s="7"/>
      <c r="H6" s="6"/>
      <c r="I6" s="7"/>
      <c r="J6" s="6"/>
      <c r="K6" s="7"/>
      <c r="L6" s="6"/>
      <c r="M6" s="7"/>
      <c r="N6" s="6"/>
      <c r="O6" s="7"/>
      <c r="P6" s="6"/>
      <c r="Q6" s="7"/>
      <c r="R6" s="6"/>
      <c r="S6" s="7"/>
      <c r="T6" s="6"/>
      <c r="U6" s="7"/>
      <c r="V6" s="6"/>
      <c r="W6" s="7"/>
      <c r="X6" s="6"/>
      <c r="Y6" s="7"/>
      <c r="Z6" s="6"/>
      <c r="AA6" s="7"/>
      <c r="AB6" s="6"/>
      <c r="AC6" s="7"/>
      <c r="AD6" s="6"/>
      <c r="AE6" s="7"/>
      <c r="AF6" s="49"/>
      <c r="AG6" s="54"/>
    </row>
    <row r="7" spans="2:55" x14ac:dyDescent="0.3">
      <c r="B7" s="11" t="s">
        <v>2</v>
      </c>
      <c r="C7" s="42">
        <f t="shared" si="3"/>
        <v>25.030392857142857</v>
      </c>
      <c r="D7" s="15">
        <f t="shared" si="2"/>
        <v>700.851</v>
      </c>
      <c r="E7" s="26"/>
      <c r="F7" s="112">
        <f>21*3.331</f>
        <v>69.950999999999993</v>
      </c>
      <c r="G7" s="7">
        <v>100</v>
      </c>
      <c r="H7" s="6">
        <v>8</v>
      </c>
      <c r="I7" s="7"/>
      <c r="J7" s="6">
        <v>1.4</v>
      </c>
      <c r="K7" s="7">
        <v>130</v>
      </c>
      <c r="L7" s="6"/>
      <c r="M7" s="7"/>
      <c r="N7" s="6">
        <v>35</v>
      </c>
      <c r="O7" s="7"/>
      <c r="P7" s="6">
        <v>80</v>
      </c>
      <c r="Q7" s="7">
        <v>30</v>
      </c>
      <c r="R7" s="6"/>
      <c r="S7" s="7"/>
      <c r="T7" s="6"/>
      <c r="U7" s="7">
        <v>60</v>
      </c>
      <c r="V7" s="6">
        <v>1.5</v>
      </c>
      <c r="W7" s="7">
        <v>185</v>
      </c>
      <c r="X7" s="6"/>
      <c r="Y7" s="7"/>
      <c r="Z7" s="6"/>
      <c r="AA7" s="7"/>
      <c r="AB7" s="6"/>
      <c r="AC7" s="7"/>
      <c r="AD7" s="6"/>
      <c r="AE7" s="7"/>
      <c r="AF7" s="49"/>
      <c r="AG7" s="54"/>
    </row>
    <row r="8" spans="2:55" x14ac:dyDescent="0.3">
      <c r="B8" s="11" t="s">
        <v>7</v>
      </c>
      <c r="C8" s="42">
        <f t="shared" si="3"/>
        <v>77.323214285714272</v>
      </c>
      <c r="D8" s="15">
        <f t="shared" si="2"/>
        <v>2165.0499999999997</v>
      </c>
      <c r="E8" s="108">
        <f>1139.5*0.95</f>
        <v>1082.5249999999999</v>
      </c>
      <c r="F8" s="6"/>
      <c r="G8" s="7"/>
      <c r="H8" s="6"/>
      <c r="I8" s="7"/>
      <c r="J8" s="6"/>
      <c r="K8" s="7"/>
      <c r="L8" s="6"/>
      <c r="M8" s="7"/>
      <c r="N8" s="6"/>
      <c r="O8" s="7"/>
      <c r="P8" s="6"/>
      <c r="Q8" s="7"/>
      <c r="R8" s="6"/>
      <c r="S8" s="7"/>
      <c r="T8" s="6"/>
      <c r="U8" s="7"/>
      <c r="V8" s="6"/>
      <c r="W8" s="7"/>
      <c r="X8" s="6"/>
      <c r="Y8" s="7"/>
      <c r="Z8" s="6"/>
      <c r="AA8" s="7"/>
      <c r="AB8" s="6"/>
      <c r="AC8" s="7"/>
      <c r="AD8" s="6"/>
      <c r="AE8" s="7"/>
      <c r="AF8" s="110">
        <f>1139.5*0.95</f>
        <v>1082.5249999999999</v>
      </c>
      <c r="AG8" s="54"/>
    </row>
    <row r="9" spans="2:55" x14ac:dyDescent="0.3">
      <c r="B9" s="12" t="s">
        <v>3</v>
      </c>
      <c r="C9" s="43">
        <f t="shared" si="3"/>
        <v>28.989285714285717</v>
      </c>
      <c r="D9" s="14">
        <f>SUM(D10:D13)</f>
        <v>811.7</v>
      </c>
      <c r="E9" s="27">
        <f>SUM(E10:E13)</f>
        <v>0</v>
      </c>
      <c r="F9" s="5">
        <f t="shared" ref="F9:AG9" si="4">SUM(F10:F13)</f>
        <v>20.5</v>
      </c>
      <c r="G9" s="5">
        <f t="shared" si="4"/>
        <v>42.5</v>
      </c>
      <c r="H9" s="5">
        <f t="shared" si="4"/>
        <v>33</v>
      </c>
      <c r="I9" s="5">
        <f t="shared" si="4"/>
        <v>36</v>
      </c>
      <c r="J9" s="5">
        <f t="shared" si="4"/>
        <v>24.5</v>
      </c>
      <c r="K9" s="5">
        <f t="shared" si="4"/>
        <v>38</v>
      </c>
      <c r="L9" s="5">
        <f t="shared" si="4"/>
        <v>18</v>
      </c>
      <c r="M9" s="5">
        <f t="shared" si="4"/>
        <v>10</v>
      </c>
      <c r="N9" s="5">
        <f t="shared" si="4"/>
        <v>30</v>
      </c>
      <c r="O9" s="5">
        <f t="shared" si="4"/>
        <v>28</v>
      </c>
      <c r="P9" s="5">
        <f t="shared" si="4"/>
        <v>39.5</v>
      </c>
      <c r="Q9" s="5">
        <f t="shared" si="4"/>
        <v>28</v>
      </c>
      <c r="R9" s="5">
        <f t="shared" si="4"/>
        <v>0</v>
      </c>
      <c r="S9" s="5">
        <f t="shared" si="4"/>
        <v>9</v>
      </c>
      <c r="T9" s="5">
        <f t="shared" si="4"/>
        <v>33</v>
      </c>
      <c r="U9" s="5">
        <f t="shared" si="4"/>
        <v>41</v>
      </c>
      <c r="V9" s="5">
        <f t="shared" si="4"/>
        <v>22.5</v>
      </c>
      <c r="W9" s="5">
        <f t="shared" si="4"/>
        <v>51.5</v>
      </c>
      <c r="X9" s="5">
        <f t="shared" si="4"/>
        <v>14.5</v>
      </c>
      <c r="Y9" s="5">
        <f t="shared" si="4"/>
        <v>33.5</v>
      </c>
      <c r="Z9" s="5">
        <f t="shared" si="4"/>
        <v>69.5</v>
      </c>
      <c r="AA9" s="5">
        <f t="shared" si="4"/>
        <v>26</v>
      </c>
      <c r="AB9" s="5">
        <f t="shared" si="4"/>
        <v>25</v>
      </c>
      <c r="AC9" s="5">
        <f t="shared" si="4"/>
        <v>48</v>
      </c>
      <c r="AD9" s="5">
        <f t="shared" si="4"/>
        <v>37.5</v>
      </c>
      <c r="AE9" s="5">
        <f t="shared" si="4"/>
        <v>24.45</v>
      </c>
      <c r="AF9" s="50">
        <f t="shared" si="4"/>
        <v>28.25</v>
      </c>
      <c r="AG9" s="28">
        <f t="shared" si="4"/>
        <v>0</v>
      </c>
    </row>
    <row r="10" spans="2:55" x14ac:dyDescent="0.3">
      <c r="B10" s="11" t="s">
        <v>38</v>
      </c>
      <c r="C10" s="42">
        <f t="shared" si="3"/>
        <v>1.2142857142857142</v>
      </c>
      <c r="D10" s="15">
        <f>SUM(E10:AG10)</f>
        <v>34</v>
      </c>
      <c r="E10" s="26"/>
      <c r="F10" s="6"/>
      <c r="G10" s="7">
        <v>5.5</v>
      </c>
      <c r="H10" s="6">
        <v>8</v>
      </c>
      <c r="I10" s="7">
        <v>8</v>
      </c>
      <c r="J10" s="6">
        <v>5</v>
      </c>
      <c r="K10" s="7"/>
      <c r="L10" s="6"/>
      <c r="M10" s="7">
        <v>7.5</v>
      </c>
      <c r="N10" s="6"/>
      <c r="O10" s="7"/>
      <c r="P10" s="6"/>
      <c r="Q10" s="7"/>
      <c r="R10" s="6"/>
      <c r="S10" s="7"/>
      <c r="T10" s="6"/>
      <c r="U10" s="7"/>
      <c r="V10" s="6"/>
      <c r="W10" s="7"/>
      <c r="X10" s="6"/>
      <c r="Y10" s="7"/>
      <c r="Z10" s="6"/>
      <c r="AA10" s="7"/>
      <c r="AB10" s="6"/>
      <c r="AC10" s="7"/>
      <c r="AD10" s="6"/>
      <c r="AE10" s="7"/>
      <c r="AF10" s="49"/>
      <c r="AG10" s="54"/>
    </row>
    <row r="11" spans="2:55" x14ac:dyDescent="0.3">
      <c r="B11" s="11" t="s">
        <v>39</v>
      </c>
      <c r="C11" s="42">
        <f t="shared" si="3"/>
        <v>11.017857142857142</v>
      </c>
      <c r="D11" s="15">
        <f t="shared" ref="D11:D13" si="5">SUM(E11:AG11)</f>
        <v>308.5</v>
      </c>
      <c r="E11" s="26"/>
      <c r="F11" s="6">
        <v>8</v>
      </c>
      <c r="G11" s="7">
        <v>20</v>
      </c>
      <c r="H11" s="6"/>
      <c r="I11" s="7">
        <v>8</v>
      </c>
      <c r="J11" s="6">
        <v>6</v>
      </c>
      <c r="K11" s="7">
        <v>15</v>
      </c>
      <c r="L11" s="6">
        <v>5</v>
      </c>
      <c r="M11" s="7"/>
      <c r="N11" s="6">
        <v>30</v>
      </c>
      <c r="O11" s="7">
        <v>10</v>
      </c>
      <c r="P11" s="6">
        <v>35</v>
      </c>
      <c r="Q11" s="7">
        <v>15</v>
      </c>
      <c r="R11" s="6"/>
      <c r="S11" s="7"/>
      <c r="T11" s="6">
        <v>33</v>
      </c>
      <c r="U11" s="7">
        <v>18</v>
      </c>
      <c r="V11" s="6">
        <v>22.5</v>
      </c>
      <c r="W11" s="7">
        <v>15</v>
      </c>
      <c r="X11" s="6"/>
      <c r="Y11" s="7">
        <v>12.5</v>
      </c>
      <c r="Z11" s="6"/>
      <c r="AA11" s="7">
        <v>20.5</v>
      </c>
      <c r="AB11" s="6"/>
      <c r="AC11" s="7"/>
      <c r="AD11" s="6">
        <v>35</v>
      </c>
      <c r="AE11" s="7"/>
      <c r="AF11" s="49"/>
      <c r="AG11" s="54"/>
    </row>
    <row r="12" spans="2:55" x14ac:dyDescent="0.3">
      <c r="B12" s="11" t="s">
        <v>40</v>
      </c>
      <c r="C12" s="42">
        <f t="shared" si="3"/>
        <v>4.8928571428571432</v>
      </c>
      <c r="D12" s="15">
        <f t="shared" si="5"/>
        <v>137</v>
      </c>
      <c r="E12" s="26"/>
      <c r="F12" s="6"/>
      <c r="G12" s="7">
        <v>9</v>
      </c>
      <c r="H12" s="6">
        <v>24</v>
      </c>
      <c r="I12" s="7">
        <v>20</v>
      </c>
      <c r="J12" s="6"/>
      <c r="K12" s="7">
        <v>17</v>
      </c>
      <c r="L12" s="6"/>
      <c r="M12" s="7"/>
      <c r="N12" s="6"/>
      <c r="O12" s="7"/>
      <c r="P12" s="6"/>
      <c r="Q12" s="7"/>
      <c r="R12" s="6"/>
      <c r="S12" s="7"/>
      <c r="T12" s="6"/>
      <c r="U12" s="7"/>
      <c r="V12" s="6"/>
      <c r="W12" s="7"/>
      <c r="X12" s="6"/>
      <c r="Y12" s="7"/>
      <c r="Z12" s="6">
        <v>32</v>
      </c>
      <c r="AA12" s="7"/>
      <c r="AB12" s="6"/>
      <c r="AC12" s="7">
        <v>35</v>
      </c>
      <c r="AD12" s="6"/>
      <c r="AE12" s="7"/>
      <c r="AF12" s="49"/>
      <c r="AG12" s="54"/>
    </row>
    <row r="13" spans="2:55" x14ac:dyDescent="0.3">
      <c r="B13" s="11" t="s">
        <v>41</v>
      </c>
      <c r="C13" s="42">
        <f t="shared" si="3"/>
        <v>11.864285714285714</v>
      </c>
      <c r="D13" s="15">
        <f t="shared" si="5"/>
        <v>332.2</v>
      </c>
      <c r="E13" s="26"/>
      <c r="F13" s="6">
        <f>5+1+4+2.5</f>
        <v>12.5</v>
      </c>
      <c r="G13" s="7">
        <f>7+1</f>
        <v>8</v>
      </c>
      <c r="H13" s="6">
        <f>1</f>
        <v>1</v>
      </c>
      <c r="I13" s="7"/>
      <c r="J13" s="6">
        <f>7.5+6</f>
        <v>13.5</v>
      </c>
      <c r="K13" s="7">
        <v>6</v>
      </c>
      <c r="L13" s="6">
        <f>3+10</f>
        <v>13</v>
      </c>
      <c r="M13" s="7">
        <v>2.5</v>
      </c>
      <c r="N13" s="6"/>
      <c r="O13" s="7">
        <v>18</v>
      </c>
      <c r="P13" s="6">
        <f>2+2.5</f>
        <v>4.5</v>
      </c>
      <c r="Q13" s="7">
        <v>13</v>
      </c>
      <c r="R13" s="6"/>
      <c r="S13" s="7">
        <f>2+7</f>
        <v>9</v>
      </c>
      <c r="T13" s="6"/>
      <c r="U13" s="7">
        <f>4+2+10+7</f>
        <v>23</v>
      </c>
      <c r="V13" s="6"/>
      <c r="W13" s="7">
        <f>2.5+11+23</f>
        <v>36.5</v>
      </c>
      <c r="X13" s="6">
        <f>4+10.5</f>
        <v>14.5</v>
      </c>
      <c r="Y13" s="7">
        <v>21</v>
      </c>
      <c r="Z13" s="6">
        <f>34.5+3</f>
        <v>37.5</v>
      </c>
      <c r="AA13" s="7">
        <f>3+2.5</f>
        <v>5.5</v>
      </c>
      <c r="AB13" s="6">
        <f>23+2</f>
        <v>25</v>
      </c>
      <c r="AC13" s="7">
        <f>3+10</f>
        <v>13</v>
      </c>
      <c r="AD13" s="6">
        <f>2.5</f>
        <v>2.5</v>
      </c>
      <c r="AE13" s="7">
        <f>1.95+8+14.5</f>
        <v>24.45</v>
      </c>
      <c r="AF13" s="49">
        <f>8+20.25</f>
        <v>28.25</v>
      </c>
      <c r="AG13" s="54"/>
    </row>
    <row r="14" spans="2:55" x14ac:dyDescent="0.3">
      <c r="B14" s="12" t="s">
        <v>4</v>
      </c>
      <c r="C14" s="43">
        <f t="shared" si="3"/>
        <v>14.642857142857142</v>
      </c>
      <c r="D14" s="14">
        <f>SUM(D15:D17)</f>
        <v>410</v>
      </c>
      <c r="E14" s="27">
        <f>SUM(E15:E17)</f>
        <v>0</v>
      </c>
      <c r="F14" s="5">
        <f t="shared" ref="F14:AG14" si="6">SUM(F15:F17)</f>
        <v>31</v>
      </c>
      <c r="G14" s="5">
        <f t="shared" si="6"/>
        <v>20</v>
      </c>
      <c r="H14" s="5">
        <f t="shared" si="6"/>
        <v>20</v>
      </c>
      <c r="I14" s="5">
        <f t="shared" si="6"/>
        <v>10</v>
      </c>
      <c r="J14" s="5">
        <f t="shared" si="6"/>
        <v>0</v>
      </c>
      <c r="K14" s="5">
        <f t="shared" si="6"/>
        <v>15</v>
      </c>
      <c r="L14" s="5">
        <f t="shared" si="6"/>
        <v>15</v>
      </c>
      <c r="M14" s="5">
        <f t="shared" si="6"/>
        <v>0</v>
      </c>
      <c r="N14" s="5">
        <f t="shared" si="6"/>
        <v>20</v>
      </c>
      <c r="O14" s="5">
        <f t="shared" si="6"/>
        <v>20</v>
      </c>
      <c r="P14" s="5">
        <f t="shared" si="6"/>
        <v>0</v>
      </c>
      <c r="Q14" s="5">
        <f t="shared" si="6"/>
        <v>25</v>
      </c>
      <c r="R14" s="5">
        <f t="shared" si="6"/>
        <v>0</v>
      </c>
      <c r="S14" s="5">
        <f t="shared" si="6"/>
        <v>0</v>
      </c>
      <c r="T14" s="5">
        <f t="shared" si="6"/>
        <v>0</v>
      </c>
      <c r="U14" s="5">
        <f t="shared" si="6"/>
        <v>15</v>
      </c>
      <c r="V14" s="5">
        <f t="shared" si="6"/>
        <v>0</v>
      </c>
      <c r="W14" s="5">
        <f t="shared" si="6"/>
        <v>50</v>
      </c>
      <c r="X14" s="5">
        <f t="shared" si="6"/>
        <v>0</v>
      </c>
      <c r="Y14" s="5">
        <f t="shared" si="6"/>
        <v>50</v>
      </c>
      <c r="Z14" s="5">
        <f t="shared" si="6"/>
        <v>0</v>
      </c>
      <c r="AA14" s="5">
        <f t="shared" si="6"/>
        <v>0</v>
      </c>
      <c r="AB14" s="5">
        <f t="shared" si="6"/>
        <v>99</v>
      </c>
      <c r="AC14" s="5">
        <f t="shared" si="6"/>
        <v>0</v>
      </c>
      <c r="AD14" s="5">
        <f t="shared" si="6"/>
        <v>20</v>
      </c>
      <c r="AE14" s="5">
        <f t="shared" si="6"/>
        <v>0</v>
      </c>
      <c r="AF14" s="50">
        <f t="shared" si="6"/>
        <v>0</v>
      </c>
      <c r="AG14" s="28">
        <f t="shared" si="6"/>
        <v>0</v>
      </c>
    </row>
    <row r="15" spans="2:55" x14ac:dyDescent="0.3">
      <c r="B15" s="11" t="s">
        <v>42</v>
      </c>
      <c r="C15" s="42">
        <f t="shared" si="3"/>
        <v>14.642857142857142</v>
      </c>
      <c r="D15" s="15">
        <f t="shared" ref="D15:D17" si="7">SUM(E15:AG15)</f>
        <v>410</v>
      </c>
      <c r="E15" s="26"/>
      <c r="F15" s="6">
        <v>31</v>
      </c>
      <c r="G15" s="7">
        <v>20</v>
      </c>
      <c r="H15" s="6">
        <v>20</v>
      </c>
      <c r="I15" s="7">
        <v>10</v>
      </c>
      <c r="J15" s="6"/>
      <c r="K15" s="7">
        <v>15</v>
      </c>
      <c r="L15" s="6">
        <v>15</v>
      </c>
      <c r="M15" s="7"/>
      <c r="N15" s="6">
        <v>20</v>
      </c>
      <c r="O15" s="7">
        <v>20</v>
      </c>
      <c r="P15" s="6"/>
      <c r="Q15" s="7">
        <v>25</v>
      </c>
      <c r="R15" s="6"/>
      <c r="S15" s="7"/>
      <c r="T15" s="6"/>
      <c r="U15" s="7">
        <v>15</v>
      </c>
      <c r="V15" s="6"/>
      <c r="W15" s="7">
        <v>50</v>
      </c>
      <c r="X15" s="6"/>
      <c r="Y15" s="7">
        <v>50</v>
      </c>
      <c r="Z15" s="6"/>
      <c r="AA15" s="7"/>
      <c r="AB15" s="6">
        <v>99</v>
      </c>
      <c r="AC15" s="7"/>
      <c r="AD15" s="6">
        <v>20</v>
      </c>
      <c r="AE15" s="7"/>
      <c r="AF15" s="49"/>
      <c r="AG15" s="54"/>
    </row>
    <row r="16" spans="2:55" x14ac:dyDescent="0.3">
      <c r="B16" s="11" t="s">
        <v>44</v>
      </c>
      <c r="C16" s="42">
        <f t="shared" si="3"/>
        <v>0</v>
      </c>
      <c r="D16" s="15">
        <f t="shared" si="7"/>
        <v>0</v>
      </c>
      <c r="E16" s="26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  <c r="Z16" s="6"/>
      <c r="AA16" s="7"/>
      <c r="AB16" s="6"/>
      <c r="AC16" s="7"/>
      <c r="AD16" s="6"/>
      <c r="AE16" s="7"/>
      <c r="AF16" s="49"/>
      <c r="AG16" s="54"/>
    </row>
    <row r="17" spans="1:34" x14ac:dyDescent="0.3">
      <c r="B17" s="11" t="s">
        <v>43</v>
      </c>
      <c r="C17" s="42">
        <f t="shared" si="3"/>
        <v>0</v>
      </c>
      <c r="D17" s="15">
        <f t="shared" si="7"/>
        <v>0</v>
      </c>
      <c r="E17" s="26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7"/>
      <c r="V17" s="6"/>
      <c r="W17" s="7"/>
      <c r="X17" s="6"/>
      <c r="Y17" s="7"/>
      <c r="Z17" s="6"/>
      <c r="AA17" s="7"/>
      <c r="AB17" s="6"/>
      <c r="AC17" s="7"/>
      <c r="AD17" s="6"/>
      <c r="AE17" s="7"/>
      <c r="AF17" s="49"/>
      <c r="AG17" s="54"/>
    </row>
    <row r="18" spans="1:34" x14ac:dyDescent="0.3">
      <c r="B18" s="12" t="s">
        <v>5</v>
      </c>
      <c r="C18" s="43">
        <f t="shared" si="3"/>
        <v>43.614214285714283</v>
      </c>
      <c r="D18" s="14">
        <f>SUM(D19:D22)</f>
        <v>1221.1979999999999</v>
      </c>
      <c r="E18" s="27">
        <f>SUM(E19:E22)</f>
        <v>0</v>
      </c>
      <c r="F18" s="5">
        <f t="shared" ref="F18:AG18" si="8">SUM(F19:F22)</f>
        <v>193.19800000000001</v>
      </c>
      <c r="G18" s="5">
        <f t="shared" si="8"/>
        <v>47</v>
      </c>
      <c r="H18" s="5">
        <f t="shared" si="8"/>
        <v>50</v>
      </c>
      <c r="I18" s="5">
        <f t="shared" si="8"/>
        <v>0</v>
      </c>
      <c r="J18" s="5">
        <f t="shared" si="8"/>
        <v>10</v>
      </c>
      <c r="K18" s="5">
        <f t="shared" si="8"/>
        <v>55</v>
      </c>
      <c r="L18" s="5">
        <f t="shared" si="8"/>
        <v>40</v>
      </c>
      <c r="M18" s="5">
        <f t="shared" si="8"/>
        <v>0</v>
      </c>
      <c r="N18" s="5">
        <f t="shared" si="8"/>
        <v>44</v>
      </c>
      <c r="O18" s="5">
        <f t="shared" si="8"/>
        <v>55</v>
      </c>
      <c r="P18" s="5">
        <f t="shared" si="8"/>
        <v>18</v>
      </c>
      <c r="Q18" s="5">
        <f t="shared" si="8"/>
        <v>145</v>
      </c>
      <c r="R18" s="5">
        <f t="shared" si="8"/>
        <v>40</v>
      </c>
      <c r="S18" s="5">
        <f t="shared" si="8"/>
        <v>0</v>
      </c>
      <c r="T18" s="5">
        <f t="shared" si="8"/>
        <v>15</v>
      </c>
      <c r="U18" s="5">
        <f t="shared" si="8"/>
        <v>15</v>
      </c>
      <c r="V18" s="5">
        <f t="shared" si="8"/>
        <v>33</v>
      </c>
      <c r="W18" s="5">
        <f t="shared" si="8"/>
        <v>340</v>
      </c>
      <c r="X18" s="5">
        <f t="shared" si="8"/>
        <v>80</v>
      </c>
      <c r="Y18" s="5">
        <f t="shared" si="8"/>
        <v>0</v>
      </c>
      <c r="Z18" s="5">
        <f t="shared" si="8"/>
        <v>25</v>
      </c>
      <c r="AA18" s="5">
        <f t="shared" si="8"/>
        <v>0</v>
      </c>
      <c r="AB18" s="5">
        <f t="shared" si="8"/>
        <v>6</v>
      </c>
      <c r="AC18" s="5">
        <f t="shared" si="8"/>
        <v>10</v>
      </c>
      <c r="AD18" s="5">
        <f t="shared" si="8"/>
        <v>0</v>
      </c>
      <c r="AE18" s="5">
        <f t="shared" si="8"/>
        <v>0</v>
      </c>
      <c r="AF18" s="50">
        <f t="shared" si="8"/>
        <v>0</v>
      </c>
      <c r="AG18" s="28">
        <f t="shared" si="8"/>
        <v>0</v>
      </c>
    </row>
    <row r="19" spans="1:34" x14ac:dyDescent="0.3">
      <c r="B19" s="11" t="s">
        <v>46</v>
      </c>
      <c r="C19" s="42">
        <f t="shared" si="3"/>
        <v>0</v>
      </c>
      <c r="D19" s="15">
        <f t="shared" ref="D19:D22" si="9">SUM(E19:AG19)</f>
        <v>0</v>
      </c>
      <c r="E19" s="26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7"/>
      <c r="V19" s="6"/>
      <c r="W19" s="7"/>
      <c r="X19" s="6"/>
      <c r="Y19" s="7"/>
      <c r="Z19" s="6"/>
      <c r="AA19" s="7"/>
      <c r="AB19" s="6"/>
      <c r="AC19" s="7"/>
      <c r="AD19" s="6"/>
      <c r="AE19" s="7"/>
      <c r="AF19" s="49"/>
      <c r="AG19" s="54"/>
    </row>
    <row r="20" spans="1:34" x14ac:dyDescent="0.3">
      <c r="B20" s="11" t="s">
        <v>69</v>
      </c>
      <c r="C20" s="42">
        <f t="shared" si="3"/>
        <v>29.5</v>
      </c>
      <c r="D20" s="15">
        <f t="shared" si="9"/>
        <v>826</v>
      </c>
      <c r="E20" s="26"/>
      <c r="F20" s="6"/>
      <c r="G20" s="7">
        <v>30</v>
      </c>
      <c r="H20" s="6">
        <v>40</v>
      </c>
      <c r="I20" s="7"/>
      <c r="J20" s="6"/>
      <c r="K20" s="7">
        <v>35</v>
      </c>
      <c r="L20" s="6">
        <v>30</v>
      </c>
      <c r="M20" s="7"/>
      <c r="N20" s="6">
        <v>44</v>
      </c>
      <c r="O20" s="7">
        <v>55</v>
      </c>
      <c r="P20" s="6">
        <v>18</v>
      </c>
      <c r="Q20" s="7">
        <v>145</v>
      </c>
      <c r="R20" s="6"/>
      <c r="S20" s="7"/>
      <c r="T20" s="6"/>
      <c r="U20" s="7">
        <v>15</v>
      </c>
      <c r="V20" s="6">
        <v>33</v>
      </c>
      <c r="W20" s="7">
        <v>340</v>
      </c>
      <c r="X20" s="6"/>
      <c r="Y20" s="7"/>
      <c r="Z20" s="6">
        <v>25</v>
      </c>
      <c r="AA20" s="7"/>
      <c r="AB20" s="6">
        <v>6</v>
      </c>
      <c r="AC20" s="7">
        <v>10</v>
      </c>
      <c r="AD20" s="6"/>
      <c r="AE20" s="7"/>
      <c r="AF20" s="49"/>
      <c r="AG20" s="54"/>
    </row>
    <row r="21" spans="1:34" x14ac:dyDescent="0.3">
      <c r="B21" s="11" t="s">
        <v>47</v>
      </c>
      <c r="C21" s="42">
        <f t="shared" si="3"/>
        <v>0</v>
      </c>
      <c r="D21" s="15">
        <f t="shared" si="9"/>
        <v>0</v>
      </c>
      <c r="E21" s="26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  <c r="R21" s="6"/>
      <c r="S21" s="7"/>
      <c r="T21" s="6"/>
      <c r="U21" s="7"/>
      <c r="V21" s="6"/>
      <c r="W21" s="7"/>
      <c r="X21" s="6"/>
      <c r="Y21" s="7"/>
      <c r="Z21" s="6"/>
      <c r="AA21" s="7"/>
      <c r="AB21" s="6"/>
      <c r="AC21" s="7"/>
      <c r="AD21" s="6"/>
      <c r="AE21" s="7"/>
      <c r="AF21" s="49"/>
      <c r="AG21" s="54"/>
    </row>
    <row r="22" spans="1:34" x14ac:dyDescent="0.3">
      <c r="B22" s="11" t="s">
        <v>48</v>
      </c>
      <c r="C22" s="42">
        <f t="shared" si="3"/>
        <v>14.114214285714285</v>
      </c>
      <c r="D22" s="15">
        <f t="shared" si="9"/>
        <v>395.19799999999998</v>
      </c>
      <c r="E22" s="26"/>
      <c r="F22" s="112">
        <f>58*3.331</f>
        <v>193.19800000000001</v>
      </c>
      <c r="G22" s="7">
        <f>10+7</f>
        <v>17</v>
      </c>
      <c r="H22" s="6">
        <v>10</v>
      </c>
      <c r="I22" s="7"/>
      <c r="J22" s="6">
        <v>10</v>
      </c>
      <c r="K22" s="7">
        <v>20</v>
      </c>
      <c r="L22" s="6">
        <f>10</f>
        <v>10</v>
      </c>
      <c r="M22" s="7"/>
      <c r="N22" s="6"/>
      <c r="O22" s="7"/>
      <c r="P22" s="6"/>
      <c r="Q22" s="7"/>
      <c r="R22" s="6">
        <v>40</v>
      </c>
      <c r="S22" s="7"/>
      <c r="T22" s="6">
        <v>15</v>
      </c>
      <c r="U22" s="7"/>
      <c r="V22" s="6"/>
      <c r="W22" s="7"/>
      <c r="X22" s="6">
        <f>10+70</f>
        <v>80</v>
      </c>
      <c r="Y22" s="7"/>
      <c r="Z22" s="6"/>
      <c r="AA22" s="7"/>
      <c r="AB22" s="6"/>
      <c r="AC22" s="7"/>
      <c r="AD22" s="6"/>
      <c r="AE22" s="7"/>
      <c r="AF22" s="49"/>
      <c r="AG22" s="54"/>
    </row>
    <row r="23" spans="1:34" x14ac:dyDescent="0.3">
      <c r="B23" s="12" t="s">
        <v>6</v>
      </c>
      <c r="C23" s="43">
        <f t="shared" si="3"/>
        <v>16.114285714285717</v>
      </c>
      <c r="D23" s="14">
        <f>SUM(D24:D27)</f>
        <v>451.20000000000005</v>
      </c>
      <c r="E23" s="27">
        <f>SUM(E24:E27)</f>
        <v>0</v>
      </c>
      <c r="F23" s="5">
        <f t="shared" ref="F23:AG23" si="10">SUM(F24:F27)</f>
        <v>7.3</v>
      </c>
      <c r="G23" s="5">
        <f t="shared" si="10"/>
        <v>31</v>
      </c>
      <c r="H23" s="5">
        <f t="shared" si="10"/>
        <v>0</v>
      </c>
      <c r="I23" s="5">
        <f t="shared" si="10"/>
        <v>0</v>
      </c>
      <c r="J23" s="5">
        <f t="shared" si="10"/>
        <v>1.3</v>
      </c>
      <c r="K23" s="5">
        <f t="shared" si="10"/>
        <v>21</v>
      </c>
      <c r="L23" s="5">
        <f t="shared" si="10"/>
        <v>0</v>
      </c>
      <c r="M23" s="5">
        <f t="shared" si="10"/>
        <v>0</v>
      </c>
      <c r="N23" s="5">
        <f t="shared" si="10"/>
        <v>0</v>
      </c>
      <c r="O23" s="5">
        <f t="shared" si="10"/>
        <v>0</v>
      </c>
      <c r="P23" s="5">
        <f t="shared" si="10"/>
        <v>0</v>
      </c>
      <c r="Q23" s="5">
        <f t="shared" si="10"/>
        <v>0</v>
      </c>
      <c r="R23" s="5">
        <f t="shared" si="10"/>
        <v>0</v>
      </c>
      <c r="S23" s="5">
        <f t="shared" si="10"/>
        <v>0</v>
      </c>
      <c r="T23" s="5">
        <f t="shared" si="10"/>
        <v>0</v>
      </c>
      <c r="U23" s="5">
        <f t="shared" si="10"/>
        <v>37</v>
      </c>
      <c r="V23" s="5">
        <f t="shared" si="10"/>
        <v>23</v>
      </c>
      <c r="W23" s="5">
        <f t="shared" si="10"/>
        <v>95</v>
      </c>
      <c r="X23" s="5">
        <f t="shared" si="10"/>
        <v>60</v>
      </c>
      <c r="Y23" s="5">
        <f t="shared" si="10"/>
        <v>0</v>
      </c>
      <c r="Z23" s="5">
        <f t="shared" si="10"/>
        <v>0</v>
      </c>
      <c r="AA23" s="5">
        <f t="shared" si="10"/>
        <v>4</v>
      </c>
      <c r="AB23" s="5">
        <f t="shared" si="10"/>
        <v>0</v>
      </c>
      <c r="AC23" s="5">
        <f t="shared" si="10"/>
        <v>0</v>
      </c>
      <c r="AD23" s="5">
        <f t="shared" si="10"/>
        <v>0</v>
      </c>
      <c r="AE23" s="5">
        <f t="shared" si="10"/>
        <v>171.6</v>
      </c>
      <c r="AF23" s="50">
        <f t="shared" si="10"/>
        <v>0</v>
      </c>
      <c r="AG23" s="28">
        <f t="shared" si="10"/>
        <v>0</v>
      </c>
    </row>
    <row r="24" spans="1:34" x14ac:dyDescent="0.3">
      <c r="B24" s="11" t="s">
        <v>49</v>
      </c>
      <c r="C24" s="42">
        <f t="shared" si="3"/>
        <v>5.6642857142857137</v>
      </c>
      <c r="D24" s="15">
        <f t="shared" ref="D24:D27" si="11">SUM(E24:AG24)</f>
        <v>158.6</v>
      </c>
      <c r="E24" s="26"/>
      <c r="F24" s="6"/>
      <c r="G24" s="7"/>
      <c r="H24" s="6"/>
      <c r="I24" s="7"/>
      <c r="J24" s="6"/>
      <c r="K24" s="7"/>
      <c r="L24" s="6"/>
      <c r="M24" s="7"/>
      <c r="N24" s="6"/>
      <c r="O24" s="7"/>
      <c r="P24" s="6"/>
      <c r="Q24" s="7"/>
      <c r="R24" s="6"/>
      <c r="S24" s="7"/>
      <c r="T24" s="6"/>
      <c r="U24" s="7"/>
      <c r="V24" s="6">
        <v>10</v>
      </c>
      <c r="W24" s="7"/>
      <c r="X24" s="6"/>
      <c r="Y24" s="7"/>
      <c r="Z24" s="6"/>
      <c r="AA24" s="7"/>
      <c r="AB24" s="6"/>
      <c r="AC24" s="7"/>
      <c r="AD24" s="6"/>
      <c r="AE24" s="7">
        <f>32+8+47.8+60.8</f>
        <v>148.6</v>
      </c>
      <c r="AF24" s="49"/>
      <c r="AG24" s="54"/>
    </row>
    <row r="25" spans="1:34" x14ac:dyDescent="0.3">
      <c r="B25" s="11" t="s">
        <v>50</v>
      </c>
      <c r="C25" s="42">
        <f t="shared" si="3"/>
        <v>8.1428571428571423</v>
      </c>
      <c r="D25" s="15">
        <f t="shared" si="11"/>
        <v>228</v>
      </c>
      <c r="E25" s="26"/>
      <c r="F25" s="6"/>
      <c r="G25" s="7">
        <f>20</f>
        <v>20</v>
      </c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7"/>
      <c r="T25" s="6"/>
      <c r="U25" s="7">
        <v>30</v>
      </c>
      <c r="V25" s="6"/>
      <c r="W25" s="7">
        <v>95</v>
      </c>
      <c r="X25" s="6">
        <v>60</v>
      </c>
      <c r="Y25" s="7"/>
      <c r="Z25" s="6"/>
      <c r="AA25" s="7"/>
      <c r="AB25" s="6"/>
      <c r="AC25" s="7"/>
      <c r="AD25" s="6"/>
      <c r="AE25" s="7">
        <v>23</v>
      </c>
      <c r="AF25" s="49"/>
      <c r="AG25" s="54"/>
    </row>
    <row r="26" spans="1:34" x14ac:dyDescent="0.3">
      <c r="B26" s="11" t="s">
        <v>51</v>
      </c>
      <c r="C26" s="42">
        <f t="shared" si="3"/>
        <v>0</v>
      </c>
      <c r="D26" s="15">
        <f t="shared" si="11"/>
        <v>0</v>
      </c>
      <c r="E26" s="26"/>
      <c r="F26" s="6"/>
      <c r="G26" s="7"/>
      <c r="H26" s="6"/>
      <c r="I26" s="7"/>
      <c r="J26" s="6"/>
      <c r="K26" s="7"/>
      <c r="L26" s="6"/>
      <c r="M26" s="7"/>
      <c r="N26" s="6"/>
      <c r="O26" s="7"/>
      <c r="P26" s="6"/>
      <c r="Q26" s="7"/>
      <c r="R26" s="6"/>
      <c r="S26" s="7"/>
      <c r="T26" s="6"/>
      <c r="U26" s="7"/>
      <c r="V26" s="6"/>
      <c r="W26" s="7"/>
      <c r="X26" s="6"/>
      <c r="Y26" s="7"/>
      <c r="Z26" s="6"/>
      <c r="AA26" s="7"/>
      <c r="AB26" s="6"/>
      <c r="AC26" s="7"/>
      <c r="AD26" s="6"/>
      <c r="AE26" s="7"/>
      <c r="AF26" s="49"/>
      <c r="AG26" s="54"/>
    </row>
    <row r="27" spans="1:34" ht="15" thickBot="1" x14ac:dyDescent="0.35">
      <c r="B27" s="13" t="s">
        <v>52</v>
      </c>
      <c r="C27" s="44">
        <f t="shared" si="3"/>
        <v>2.3071428571428569</v>
      </c>
      <c r="D27" s="16">
        <f t="shared" si="11"/>
        <v>64.599999999999994</v>
      </c>
      <c r="E27" s="109"/>
      <c r="F27" s="29">
        <f>1.5+5.8</f>
        <v>7.3</v>
      </c>
      <c r="G27" s="30">
        <f>3+2+6</f>
        <v>11</v>
      </c>
      <c r="H27" s="29"/>
      <c r="I27" s="30" t="s">
        <v>99</v>
      </c>
      <c r="J27" s="29">
        <v>1.3</v>
      </c>
      <c r="K27" s="30">
        <v>21</v>
      </c>
      <c r="L27" s="29"/>
      <c r="M27" s="30"/>
      <c r="N27" s="29"/>
      <c r="O27" s="30"/>
      <c r="P27" s="29"/>
      <c r="Q27" s="30"/>
      <c r="R27" s="29"/>
      <c r="S27" s="30"/>
      <c r="T27" s="29"/>
      <c r="U27" s="30">
        <v>7</v>
      </c>
      <c r="V27" s="29">
        <f>6+7</f>
        <v>13</v>
      </c>
      <c r="W27" s="30"/>
      <c r="X27" s="29"/>
      <c r="Y27" s="30"/>
      <c r="Z27" s="29"/>
      <c r="AA27" s="30">
        <v>4</v>
      </c>
      <c r="AB27" s="29"/>
      <c r="AC27" s="30"/>
      <c r="AD27" s="29"/>
      <c r="AE27" s="30"/>
      <c r="AF27" s="51"/>
      <c r="AG27" s="55"/>
    </row>
    <row r="28" spans="1:34" x14ac:dyDescent="0.3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</row>
    <row r="29" spans="1:34" x14ac:dyDescent="0.3">
      <c r="A29" s="102"/>
      <c r="B29" s="111" t="s">
        <v>125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2"/>
    </row>
    <row r="30" spans="1:34" x14ac:dyDescent="0.3">
      <c r="A30" s="102"/>
      <c r="B30" s="103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2"/>
    </row>
    <row r="31" spans="1:34" x14ac:dyDescent="0.3">
      <c r="A31" s="102"/>
      <c r="B31" s="103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2"/>
    </row>
    <row r="32" spans="1:34" x14ac:dyDescent="0.3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</row>
    <row r="33" spans="1:34" x14ac:dyDescent="0.3">
      <c r="A33" s="102"/>
      <c r="B33" s="203"/>
      <c r="C33" s="203"/>
      <c r="D33" s="203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2"/>
    </row>
    <row r="34" spans="1:34" x14ac:dyDescent="0.3">
      <c r="A34" s="102"/>
      <c r="B34" s="202"/>
      <c r="C34" s="202"/>
      <c r="D34" s="106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2"/>
    </row>
    <row r="35" spans="1:34" x14ac:dyDescent="0.3">
      <c r="A35" s="102"/>
      <c r="B35" s="203"/>
      <c r="C35" s="203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2"/>
    </row>
    <row r="36" spans="1:34" x14ac:dyDescent="0.3">
      <c r="A36" s="102"/>
      <c r="B36" s="202"/>
      <c r="C36" s="202"/>
      <c r="D36" s="202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2"/>
    </row>
    <row r="37" spans="1:34" x14ac:dyDescent="0.3">
      <c r="A37" s="102"/>
      <c r="B37" s="203"/>
      <c r="C37" s="203"/>
      <c r="D37" s="203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2"/>
    </row>
    <row r="38" spans="1:34" x14ac:dyDescent="0.3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</row>
    <row r="39" spans="1:34" x14ac:dyDescent="0.3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</row>
  </sheetData>
  <mergeCells count="7">
    <mergeCell ref="B36:D36"/>
    <mergeCell ref="B37:D37"/>
    <mergeCell ref="B2:D2"/>
    <mergeCell ref="B3:C3"/>
    <mergeCell ref="B34:C34"/>
    <mergeCell ref="B35:C35"/>
    <mergeCell ref="B33:D33"/>
  </mergeCells>
  <conditionalFormatting sqref="E33:AG33">
    <cfRule type="cellIs" dxfId="1" priority="1" operator="greaterThan">
      <formula>0</formula>
    </cfRule>
    <cfRule type="cellIs" dxfId="0" priority="2" operator="greaterThan">
      <formula>E$3&gt;0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9"/>
  <sheetViews>
    <sheetView showGridLines="0" zoomScale="85" zoomScaleNormal="85" workbookViewId="0">
      <selection activeCell="J16" sqref="J16"/>
    </sheetView>
  </sheetViews>
  <sheetFormatPr defaultRowHeight="14.4" x14ac:dyDescent="0.3"/>
  <cols>
    <col min="1" max="1" width="3.77734375" customWidth="1"/>
    <col min="2" max="4" width="11.88671875" bestFit="1" customWidth="1"/>
    <col min="5" max="5" width="3.109375" customWidth="1"/>
    <col min="6" max="6" width="7.44140625" bestFit="1" customWidth="1"/>
    <col min="7" max="7" width="8.88671875" customWidth="1"/>
    <col min="8" max="8" width="7.44140625" bestFit="1" customWidth="1"/>
    <col min="9" max="9" width="8.5546875" bestFit="1" customWidth="1"/>
    <col min="10" max="10" width="11.109375" customWidth="1"/>
    <col min="11" max="11" width="9.6640625" bestFit="1" customWidth="1"/>
    <col min="12" max="12" width="22.21875" customWidth="1"/>
    <col min="13" max="13" width="21" customWidth="1"/>
  </cols>
  <sheetData>
    <row r="1" spans="2:13" ht="15" thickBot="1" x14ac:dyDescent="0.35"/>
    <row r="2" spans="2:13" ht="32.4" customHeight="1" thickBot="1" x14ac:dyDescent="0.35">
      <c r="B2" s="209" t="s">
        <v>71</v>
      </c>
      <c r="C2" s="210"/>
      <c r="D2" s="211"/>
      <c r="F2" s="212" t="s">
        <v>83</v>
      </c>
      <c r="G2" s="212"/>
      <c r="H2" s="212"/>
      <c r="I2" s="212"/>
      <c r="J2" s="212"/>
      <c r="K2" s="212"/>
      <c r="L2" s="212"/>
      <c r="M2" s="212"/>
    </row>
    <row r="3" spans="2:13" ht="15" thickBot="1" x14ac:dyDescent="0.35">
      <c r="B3" s="73" t="s">
        <v>72</v>
      </c>
      <c r="C3" s="74" t="s">
        <v>73</v>
      </c>
      <c r="D3" s="75" t="s">
        <v>74</v>
      </c>
      <c r="F3" s="215" t="s">
        <v>80</v>
      </c>
      <c r="G3" s="215"/>
      <c r="H3" s="215" t="s">
        <v>79</v>
      </c>
      <c r="I3" s="215"/>
      <c r="J3" s="215" t="s">
        <v>81</v>
      </c>
      <c r="K3" s="215"/>
      <c r="L3" s="215"/>
      <c r="M3" s="215"/>
    </row>
    <row r="4" spans="2:13" ht="15" thickBot="1" x14ac:dyDescent="0.35">
      <c r="B4" s="85">
        <v>3.51</v>
      </c>
      <c r="C4" s="86">
        <v>1</v>
      </c>
      <c r="D4" s="84">
        <v>3.3170000000000002</v>
      </c>
      <c r="F4" s="81" t="s">
        <v>75</v>
      </c>
      <c r="G4" s="82" t="s">
        <v>76</v>
      </c>
      <c r="H4" s="82" t="s">
        <v>75</v>
      </c>
      <c r="I4" s="82" t="s">
        <v>76</v>
      </c>
      <c r="J4" s="82" t="s">
        <v>77</v>
      </c>
      <c r="K4" s="82" t="s">
        <v>78</v>
      </c>
      <c r="L4" s="82" t="s">
        <v>82</v>
      </c>
      <c r="M4" s="83" t="s">
        <v>0</v>
      </c>
    </row>
    <row r="5" spans="2:13" x14ac:dyDescent="0.3">
      <c r="B5" s="70"/>
      <c r="C5" s="65">
        <f>B5/B4</f>
        <v>0</v>
      </c>
      <c r="D5" s="66">
        <f>C5*D4</f>
        <v>0</v>
      </c>
      <c r="F5" s="77">
        <v>5677.78</v>
      </c>
      <c r="G5" s="78" t="s">
        <v>87</v>
      </c>
      <c r="H5" s="77">
        <v>1600</v>
      </c>
      <c r="I5" s="78" t="s">
        <v>86</v>
      </c>
      <c r="J5" s="91">
        <v>3.51</v>
      </c>
      <c r="K5" s="80">
        <v>61.78</v>
      </c>
      <c r="L5" s="79" t="s">
        <v>85</v>
      </c>
      <c r="M5" s="78" t="s">
        <v>84</v>
      </c>
    </row>
    <row r="6" spans="2:13" x14ac:dyDescent="0.3">
      <c r="B6" s="69">
        <f>C6*B4</f>
        <v>0</v>
      </c>
      <c r="C6" s="71">
        <v>0</v>
      </c>
      <c r="D6" s="67">
        <f>C6*D4</f>
        <v>0</v>
      </c>
      <c r="F6" s="88">
        <v>1000</v>
      </c>
      <c r="G6" s="87" t="s">
        <v>86</v>
      </c>
      <c r="H6" s="88">
        <v>3317</v>
      </c>
      <c r="I6" s="87" t="s">
        <v>89</v>
      </c>
      <c r="J6" s="89">
        <v>3.3170000000000002</v>
      </c>
      <c r="K6" s="90">
        <v>0</v>
      </c>
      <c r="L6" s="89" t="s">
        <v>90</v>
      </c>
      <c r="M6" s="87" t="s">
        <v>91</v>
      </c>
    </row>
    <row r="7" spans="2:13" ht="15" thickBot="1" x14ac:dyDescent="0.35">
      <c r="B7" s="68">
        <f>C7*B4</f>
        <v>5.820018088634308</v>
      </c>
      <c r="C7" s="64">
        <f>D7/D4</f>
        <v>1.658124811576726</v>
      </c>
      <c r="D7" s="72">
        <v>5.5</v>
      </c>
      <c r="F7" s="97">
        <v>100</v>
      </c>
      <c r="G7" s="76" t="s">
        <v>86</v>
      </c>
      <c r="H7" s="97">
        <v>328</v>
      </c>
      <c r="I7" s="76" t="s">
        <v>89</v>
      </c>
      <c r="J7" s="98">
        <v>3.28</v>
      </c>
      <c r="K7" s="99">
        <v>0</v>
      </c>
      <c r="L7" s="89" t="s">
        <v>90</v>
      </c>
      <c r="M7" s="100" t="s">
        <v>119</v>
      </c>
    </row>
    <row r="11" spans="2:13" x14ac:dyDescent="0.3">
      <c r="C11" s="92"/>
    </row>
    <row r="12" spans="2:13" x14ac:dyDescent="0.3">
      <c r="D12" s="92"/>
    </row>
    <row r="27" spans="22:23" x14ac:dyDescent="0.3">
      <c r="V27" s="93"/>
    </row>
    <row r="28" spans="22:23" x14ac:dyDescent="0.3">
      <c r="W28" s="93"/>
    </row>
    <row r="38" spans="4:12" x14ac:dyDescent="0.3">
      <c r="D38" s="93"/>
      <c r="J38" s="93"/>
      <c r="L38" s="214"/>
    </row>
    <row r="39" spans="4:12" x14ac:dyDescent="0.3">
      <c r="D39" s="93"/>
      <c r="G39" s="213"/>
      <c r="J39" s="93"/>
      <c r="L39" s="214"/>
    </row>
    <row r="40" spans="4:12" x14ac:dyDescent="0.3">
      <c r="D40" s="93"/>
      <c r="F40" s="92"/>
      <c r="G40" s="213"/>
      <c r="J40" s="93"/>
      <c r="L40" s="214"/>
    </row>
    <row r="41" spans="4:12" x14ac:dyDescent="0.3">
      <c r="L41" s="214"/>
    </row>
    <row r="42" spans="4:12" x14ac:dyDescent="0.3">
      <c r="F42" s="92"/>
    </row>
    <row r="49" spans="20:20" x14ac:dyDescent="0.3">
      <c r="T49" s="101"/>
    </row>
  </sheetData>
  <mergeCells count="7">
    <mergeCell ref="B2:D2"/>
    <mergeCell ref="F2:M2"/>
    <mergeCell ref="G39:G40"/>
    <mergeCell ref="L38:L41"/>
    <mergeCell ref="F3:G3"/>
    <mergeCell ref="H3:I3"/>
    <mergeCell ref="J3:M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workbookViewId="0">
      <selection activeCell="B5" sqref="B5"/>
    </sheetView>
  </sheetViews>
  <sheetFormatPr defaultRowHeight="14.4" x14ac:dyDescent="0.3"/>
  <cols>
    <col min="1" max="1" width="3.21875" customWidth="1"/>
    <col min="2" max="2" width="13.33203125" bestFit="1" customWidth="1"/>
    <col min="3" max="3" width="36.33203125" bestFit="1" customWidth="1"/>
    <col min="4" max="4" width="5.77734375" bestFit="1" customWidth="1"/>
    <col min="5" max="5" width="145.33203125" customWidth="1"/>
  </cols>
  <sheetData>
    <row r="1" spans="2:5" ht="15" thickBot="1" x14ac:dyDescent="0.35"/>
    <row r="2" spans="2:5" ht="28.8" x14ac:dyDescent="0.55000000000000004">
      <c r="B2" s="216" t="s">
        <v>162</v>
      </c>
      <c r="C2" s="217"/>
      <c r="D2" s="217"/>
      <c r="E2" s="218"/>
    </row>
    <row r="3" spans="2:5" ht="15" thickBot="1" x14ac:dyDescent="0.35">
      <c r="B3" s="128" t="s">
        <v>129</v>
      </c>
      <c r="C3" s="129" t="s">
        <v>130</v>
      </c>
      <c r="D3" s="129" t="s">
        <v>132</v>
      </c>
      <c r="E3" s="130" t="s">
        <v>157</v>
      </c>
    </row>
    <row r="4" spans="2:5" ht="15" thickBot="1" x14ac:dyDescent="0.35">
      <c r="B4" s="117" t="s">
        <v>128</v>
      </c>
      <c r="C4" s="118" t="s">
        <v>131</v>
      </c>
      <c r="D4" s="118">
        <v>8</v>
      </c>
      <c r="E4" s="131" t="s">
        <v>145</v>
      </c>
    </row>
    <row r="5" spans="2:5" ht="28.8" x14ac:dyDescent="0.3">
      <c r="B5" s="122" t="s">
        <v>133</v>
      </c>
      <c r="C5" s="126" t="s">
        <v>93</v>
      </c>
      <c r="D5" s="126">
        <v>8</v>
      </c>
      <c r="E5" s="132" t="s">
        <v>164</v>
      </c>
    </row>
    <row r="6" spans="2:5" ht="15" thickBot="1" x14ac:dyDescent="0.35">
      <c r="B6" s="115" t="s">
        <v>133</v>
      </c>
      <c r="C6" s="116" t="s">
        <v>62</v>
      </c>
      <c r="D6" s="116">
        <v>10</v>
      </c>
      <c r="E6" s="133" t="s">
        <v>144</v>
      </c>
    </row>
    <row r="7" spans="2:5" ht="15" thickBot="1" x14ac:dyDescent="0.35">
      <c r="B7" s="121" t="s">
        <v>134</v>
      </c>
      <c r="C7" s="125" t="s">
        <v>100</v>
      </c>
      <c r="D7" s="125">
        <v>7</v>
      </c>
      <c r="E7" s="134" t="s">
        <v>143</v>
      </c>
    </row>
    <row r="8" spans="2:5" x14ac:dyDescent="0.3">
      <c r="B8" s="119" t="s">
        <v>135</v>
      </c>
      <c r="C8" s="120" t="s">
        <v>136</v>
      </c>
      <c r="D8" s="120">
        <v>8</v>
      </c>
      <c r="E8" s="135" t="s">
        <v>137</v>
      </c>
    </row>
    <row r="9" spans="2:5" ht="15" thickBot="1" x14ac:dyDescent="0.35">
      <c r="B9" s="123" t="s">
        <v>135</v>
      </c>
      <c r="C9" s="127" t="s">
        <v>138</v>
      </c>
      <c r="D9" s="127">
        <v>9</v>
      </c>
      <c r="E9" s="136" t="s">
        <v>142</v>
      </c>
    </row>
    <row r="10" spans="2:5" x14ac:dyDescent="0.3">
      <c r="B10" s="119" t="s">
        <v>139</v>
      </c>
      <c r="C10" s="120" t="s">
        <v>140</v>
      </c>
      <c r="D10" s="120">
        <v>10</v>
      </c>
      <c r="E10" s="135" t="s">
        <v>141</v>
      </c>
    </row>
    <row r="11" spans="2:5" ht="15" thickBot="1" x14ac:dyDescent="0.35">
      <c r="B11" s="123" t="s">
        <v>139</v>
      </c>
      <c r="C11" s="127" t="s">
        <v>146</v>
      </c>
      <c r="D11" s="127">
        <v>8</v>
      </c>
      <c r="E11" s="136" t="s">
        <v>147</v>
      </c>
    </row>
    <row r="12" spans="2:5" ht="29.4" thickBot="1" x14ac:dyDescent="0.35">
      <c r="B12" s="117" t="s">
        <v>148</v>
      </c>
      <c r="C12" s="118" t="s">
        <v>149</v>
      </c>
      <c r="D12" s="118">
        <v>9</v>
      </c>
      <c r="E12" s="131" t="s">
        <v>163</v>
      </c>
    </row>
    <row r="13" spans="2:5" ht="15" thickBot="1" x14ac:dyDescent="0.35">
      <c r="B13" s="121" t="s">
        <v>150</v>
      </c>
      <c r="C13" s="125" t="s">
        <v>152</v>
      </c>
      <c r="D13" s="125">
        <v>8</v>
      </c>
      <c r="E13" s="134" t="s">
        <v>151</v>
      </c>
    </row>
    <row r="14" spans="2:5" x14ac:dyDescent="0.3">
      <c r="B14" s="119" t="s">
        <v>153</v>
      </c>
      <c r="C14" s="120" t="s">
        <v>65</v>
      </c>
      <c r="D14" s="120">
        <v>9</v>
      </c>
      <c r="E14" s="135" t="s">
        <v>154</v>
      </c>
    </row>
    <row r="15" spans="2:5" ht="43.2" x14ac:dyDescent="0.3">
      <c r="B15" s="124" t="s">
        <v>153</v>
      </c>
      <c r="C15" s="89" t="s">
        <v>155</v>
      </c>
      <c r="D15" s="89">
        <v>8</v>
      </c>
      <c r="E15" s="137" t="s">
        <v>156</v>
      </c>
    </row>
    <row r="16" spans="2:5" ht="86.4" x14ac:dyDescent="0.3">
      <c r="B16" s="114" t="s">
        <v>153</v>
      </c>
      <c r="C16" s="87" t="s">
        <v>66</v>
      </c>
      <c r="D16" s="87">
        <v>10</v>
      </c>
      <c r="E16" s="138" t="s">
        <v>158</v>
      </c>
    </row>
    <row r="17" spans="2:5" ht="28.8" x14ac:dyDescent="0.3">
      <c r="B17" s="124" t="s">
        <v>153</v>
      </c>
      <c r="C17" s="89" t="s">
        <v>159</v>
      </c>
      <c r="D17" s="89">
        <v>9</v>
      </c>
      <c r="E17" s="137" t="s">
        <v>160</v>
      </c>
    </row>
    <row r="18" spans="2:5" ht="15" thickBot="1" x14ac:dyDescent="0.35">
      <c r="B18" s="115" t="s">
        <v>153</v>
      </c>
      <c r="C18" s="116" t="s">
        <v>67</v>
      </c>
      <c r="D18" s="116">
        <v>10</v>
      </c>
      <c r="E18" s="139" t="s">
        <v>161</v>
      </c>
    </row>
  </sheetData>
  <mergeCells count="1">
    <mergeCell ref="B2:E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42"/>
  <sheetViews>
    <sheetView workbookViewId="0">
      <selection activeCell="K222" sqref="K222"/>
    </sheetView>
  </sheetViews>
  <sheetFormatPr defaultRowHeight="14.4" x14ac:dyDescent="0.3"/>
  <sheetData>
    <row r="1" spans="2:23" ht="15" thickBot="1" x14ac:dyDescent="0.35"/>
    <row r="2" spans="2:23" ht="24" thickBot="1" x14ac:dyDescent="0.5">
      <c r="B2" s="219" t="s">
        <v>128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1"/>
    </row>
    <row r="21" spans="2:23" ht="15" thickBot="1" x14ac:dyDescent="0.35"/>
    <row r="22" spans="2:23" ht="24" thickBot="1" x14ac:dyDescent="0.5">
      <c r="B22" s="219" t="s">
        <v>133</v>
      </c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1"/>
    </row>
    <row r="41" spans="2:23" ht="15" thickBot="1" x14ac:dyDescent="0.35"/>
    <row r="42" spans="2:23" ht="24" thickBot="1" x14ac:dyDescent="0.5">
      <c r="B42" s="219" t="s">
        <v>134</v>
      </c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1"/>
    </row>
    <row r="61" spans="2:23" ht="15" thickBot="1" x14ac:dyDescent="0.35"/>
    <row r="62" spans="2:23" ht="24" thickBot="1" x14ac:dyDescent="0.5">
      <c r="B62" s="219" t="s">
        <v>135</v>
      </c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1"/>
    </row>
    <row r="81" spans="2:23" ht="15" thickBot="1" x14ac:dyDescent="0.35"/>
    <row r="82" spans="2:23" ht="24" thickBot="1" x14ac:dyDescent="0.5">
      <c r="B82" s="219" t="s">
        <v>139</v>
      </c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1"/>
    </row>
    <row r="101" spans="2:23" ht="15" thickBot="1" x14ac:dyDescent="0.35"/>
    <row r="102" spans="2:23" ht="24" thickBot="1" x14ac:dyDescent="0.5">
      <c r="B102" s="219" t="s">
        <v>165</v>
      </c>
      <c r="C102" s="220"/>
      <c r="D102" s="220"/>
      <c r="E102" s="220"/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1"/>
    </row>
    <row r="121" spans="2:23" ht="15" thickBot="1" x14ac:dyDescent="0.35"/>
    <row r="122" spans="2:23" ht="24" thickBot="1" x14ac:dyDescent="0.5">
      <c r="B122" s="219" t="s">
        <v>150</v>
      </c>
      <c r="C122" s="220"/>
      <c r="D122" s="220"/>
      <c r="E122" s="220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1"/>
    </row>
    <row r="141" spans="2:23" ht="15" thickBot="1" x14ac:dyDescent="0.35"/>
    <row r="142" spans="2:23" ht="24" thickBot="1" x14ac:dyDescent="0.5">
      <c r="B142" s="219" t="s">
        <v>153</v>
      </c>
      <c r="C142" s="220"/>
      <c r="D142" s="220"/>
      <c r="E142" s="220"/>
      <c r="F142" s="220"/>
      <c r="G142" s="220"/>
      <c r="H142" s="220"/>
      <c r="I142" s="220"/>
      <c r="J142" s="220"/>
      <c r="K142" s="220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1"/>
    </row>
  </sheetData>
  <mergeCells count="8">
    <mergeCell ref="B122:W122"/>
    <mergeCell ref="B142:W142"/>
    <mergeCell ref="B2:W2"/>
    <mergeCell ref="B22:W22"/>
    <mergeCell ref="B42:W42"/>
    <mergeCell ref="B62:W62"/>
    <mergeCell ref="B82:W82"/>
    <mergeCell ref="B102:W10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LOCAL</vt:lpstr>
      <vt:lpstr>GASTOS</vt:lpstr>
      <vt:lpstr>CÂMBIO</vt:lpstr>
      <vt:lpstr>ROTEIROS E DICAS</vt:lpstr>
      <vt:lpstr>FOTOS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mbsj2007@hotmail.com</dc:creator>
  <cp:lastModifiedBy>mbsj2007@hotmail.com</cp:lastModifiedBy>
  <dcterms:created xsi:type="dcterms:W3CDTF">2016-06-13T23:55:17Z</dcterms:created>
  <dcterms:modified xsi:type="dcterms:W3CDTF">2016-07-26T01:14:52Z</dcterms:modified>
</cp:coreProperties>
</file>